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2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definedNames>
    <definedName name="_xlnm.Print_Titles" localSheetId="0">'Мои данные'!$16:$16</definedName>
    <definedName name="_xlnm.Print_Area" localSheetId="0">'Мои данные'!$A$1:$P$54</definedName>
  </definedNames>
  <calcPr calcId="152511"/>
</workbook>
</file>

<file path=xl/calcChain.xml><?xml version="1.0" encoding="utf-8"?>
<calcChain xmlns="http://schemas.openxmlformats.org/spreadsheetml/2006/main">
  <c r="E30" i="1" l="1"/>
  <c r="E31" i="1"/>
  <c r="E33" i="1"/>
  <c r="E34" i="1"/>
  <c r="E36" i="1"/>
  <c r="E37" i="1"/>
  <c r="E25" i="1"/>
  <c r="E27" i="1"/>
  <c r="A12" i="2"/>
  <c r="N46" i="1"/>
  <c r="N47" i="1"/>
  <c r="N45" i="1"/>
  <c r="F34" i="1"/>
  <c r="P34" i="1"/>
  <c r="F27" i="1"/>
  <c r="N39" i="1"/>
  <c r="F37" i="1"/>
  <c r="O45" i="1"/>
  <c r="O47" i="1"/>
  <c r="O38" i="1"/>
  <c r="F36" i="1"/>
  <c r="O42" i="1"/>
  <c r="F33" i="1"/>
  <c r="O40" i="1"/>
  <c r="O46" i="1"/>
  <c r="P25" i="1"/>
  <c r="N38" i="1"/>
  <c r="F25" i="1"/>
  <c r="O39" i="1"/>
  <c r="O43" i="1"/>
  <c r="D37" i="1"/>
  <c r="N34" i="1"/>
  <c r="P36" i="1"/>
  <c r="N36" i="1"/>
  <c r="O36" i="1"/>
  <c r="N28" i="1"/>
  <c r="O44" i="1"/>
  <c r="N44" i="1"/>
  <c r="P31" i="1"/>
  <c r="N31" i="1" s="1"/>
  <c r="D33" i="1"/>
  <c r="F31" i="1"/>
  <c r="D31" i="1" s="1"/>
  <c r="O31" i="1"/>
  <c r="P33" i="1"/>
  <c r="N40" i="1"/>
  <c r="P37" i="1"/>
  <c r="O41" i="1"/>
  <c r="P30" i="1"/>
  <c r="N42" i="1"/>
  <c r="P27" i="1"/>
  <c r="N41" i="1"/>
  <c r="N43" i="1"/>
  <c r="F30" i="1"/>
  <c r="D30" i="1" s="1"/>
  <c r="O28" i="1"/>
  <c r="O25" i="1"/>
  <c r="O33" i="1"/>
  <c r="O37" i="1"/>
  <c r="N30" i="1"/>
  <c r="O27" i="1"/>
  <c r="N27" i="1"/>
  <c r="N33" i="1"/>
  <c r="D27" i="1"/>
  <c r="N25" i="1"/>
  <c r="N37" i="1"/>
  <c r="D36" i="1"/>
  <c r="D25" i="1"/>
  <c r="O34" i="1"/>
  <c r="O30" i="1"/>
  <c r="D34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  <author>YuKazaeva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C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2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3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39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39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3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A5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360 значение&gt;</t>
        </r>
      </text>
    </comment>
    <comment ref="A5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A55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&lt;Комментарии к смете&gt;</t>
        </r>
      </text>
    </comment>
  </commentList>
</comments>
</file>

<file path=xl/sharedStrings.xml><?xml version="1.0" encoding="utf-8"?>
<sst xmlns="http://schemas.openxmlformats.org/spreadsheetml/2006/main" count="98" uniqueCount="69">
  <si>
    <t>№ пп</t>
  </si>
  <si>
    <t>на проектные (изыскательские)  работы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</si>
  <si>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</si>
  <si>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</si>
  <si>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Форма 2п</t>
  </si>
  <si>
    <t>Расчет стоимости: (a+bx)*Kj или
(стоимость
строительно-монтажных
работ)*проц./ 100 или количество * цена, руб.</t>
  </si>
  <si>
    <t>по проектной документации</t>
  </si>
  <si>
    <t>по рабочей документации</t>
  </si>
  <si>
    <t>всего</t>
  </si>
  <si>
    <t>Стоимость работ, руб.</t>
  </si>
  <si>
    <t>Раздел 1. Обмерные и обследовательские работы</t>
  </si>
  <si>
    <t>Обмерные работы</t>
  </si>
  <si>
    <t>Обмерные работы для многоэтажных зданий I категории сложности, категория сложности работ 2, высота здания до 6 м</t>
  </si>
  <si>
    <t>СБЦ99-2-1-2-1
"Обмерные работы и обследования зданий (1998г.)"</t>
  </si>
  <si>
    <t>0,75*0,1177*1,1</t>
  </si>
  <si>
    <t>2075 / 100</t>
  </si>
  <si>
    <t>цены 2001</t>
  </si>
  <si>
    <t>(2.11 При выполнении работ с использованием и сверкой имеющихся чертежей и выдачей скорректированных чертежей заказчику ПЗ=0,75;
10,59%-крыши, 1,18%-планы кровли со вскрытиями (табл.8 п. 12, п. 13) ПЗ=0,1177;
11 Сейсмичность 7 баллов ПЗ=1,1)</t>
  </si>
  <si>
    <t>100 м3 строительного объема здания</t>
  </si>
  <si>
    <t>Инженерные обследования</t>
  </si>
  <si>
    <t>0,034*1,1</t>
  </si>
  <si>
    <t>(3,4%-кровля (таблица 9) ПЗ=0,034 (ОЗП=0,034; ЭМ=0,034 к расх.; ЗПМ=0,034; МАТ=0,034 к расх.; ТЗ=0,034; ТЗМ=0,034);
11 Сейсмичность 7 баллов ПЗ=1,1)</t>
  </si>
  <si>
    <t>Итого по разделу 1 Обмерные и обследовательские работы</t>
  </si>
  <si>
    <t>Раздел 2. Проектные работы</t>
  </si>
  <si>
    <t>Жилые дома: двухэтажные</t>
  </si>
  <si>
    <t>СБЦП05-1-1-2-А
/Таблица: СБЦП05-1-1-2 параметр: А/ "Кап. ремонт зданий и сооружений жилищно-гражд. назн. (2012 г.)"</t>
  </si>
  <si>
    <t>0,072*0,4*1,1</t>
  </si>
  <si>
    <t>(Таб.12 п.6, п.7 1)Ремонт,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      2). Ремонт (замена) кровли и ограждающих конструкций-2,1%) ПЗ=0,072 (ОЗП=0,072; ЭМ-ЗПМ=0,072; МАТ=0,072);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Таб.11 п.4 Сейсмичность 7 баллов ПЗ=1,1)</t>
  </si>
  <si>
    <t>объект</t>
  </si>
  <si>
    <t>СБЦП05-1-1-2-Б
/Таблица: СБЦП05-1-1-2 параметр: Б/ "Кап. ремонт зданий и сооружений жилищно-гражд. назн. (2012 г.)"</t>
  </si>
  <si>
    <t>(Таб.12 п.6, п.7 1)Ремонт,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      2). Ремонт (замена) кровли и ограждающих конструкций-2,1%) ПЗ=0,072;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Таб.11 п.4 Сейсмичность 7 баллов ПЗ=1,1)</t>
  </si>
  <si>
    <t>м3</t>
  </si>
  <si>
    <t>ПОС</t>
  </si>
  <si>
    <t>0,072*0,04*0,4*1,1</t>
  </si>
  <si>
    <t>(Таб.12 п.6 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ПЗ=0,072;
Таб.12 п.18 Проект организации строительства (ПОС): здания каркасные многоэтажные - 4,0% ПЗ=0,04;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11 Сейсмичность 7 баллов ПЗ=1,1)</t>
  </si>
  <si>
    <t>Сметная документация</t>
  </si>
  <si>
    <t>0,072*0,05*0,4*1,1</t>
  </si>
  <si>
    <t>(Таб.12 п.6 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ПЗ=0,072;
Таб.12 п.19 Сметная документация: здания бескаркасные многоэтажные - 5,0% ПЗ=0,05;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Таб.11 п.4 Сейсмичность 7 баллов ПЗ=1,1)</t>
  </si>
  <si>
    <t>(Таб.12 п.6 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ПЗ=0,072;
Таб.12 п.19 Сметная документация: здания каркасные многоэтажные - 5,0% ПЗ=0,05;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Таб.11 п.4 Сейсмичность 7 баллов ПЗ=1,1)</t>
  </si>
  <si>
    <t>Итого по разделу 2 Проектные работы</t>
  </si>
  <si>
    <t>Итого прямые затраты по смете в ценах 2001г.</t>
  </si>
  <si>
    <t>Итоги по смете:</t>
  </si>
  <si>
    <t xml:space="preserve">  Итого Поз. 1-2 "Обмерные и инженерное обследование (приложение 3 к письму Минстроя Росси от 27.09.2016 №31523-ХМ/09) СМР=30,17"</t>
  </si>
  <si>
    <t xml:space="preserve">  Итого Поз. 3-8 "Проектные работы (приложение 3 к письму Минстроя Росси от 27.09.2016 №31523-ХМ/09) СМР=3,92"</t>
  </si>
  <si>
    <t xml:space="preserve">  Итого</t>
  </si>
  <si>
    <t xml:space="preserve">    Справочно, в ценах 2001г.:</t>
  </si>
  <si>
    <t xml:space="preserve">      Машины и механизмы</t>
  </si>
  <si>
    <t xml:space="preserve">  НДС 18%</t>
  </si>
  <si>
    <t xml:space="preserve">  ВСЕГО по смете</t>
  </si>
  <si>
    <t xml:space="preserve">                                                                     УТВЕРЖДЕНО:</t>
  </si>
  <si>
    <t>" _____ " ________________ 2016 г.</t>
  </si>
  <si>
    <t>РАСЧЕТ СТОИМОСТИ</t>
  </si>
  <si>
    <t xml:space="preserve">  </t>
  </si>
  <si>
    <t>Наименование организации заказчика      НО "Хабаровский краевой фонд капитального ремонта"</t>
  </si>
  <si>
    <t>Количество</t>
  </si>
  <si>
    <t>Обоснование</t>
  </si>
  <si>
    <t>Единица измерения</t>
  </si>
  <si>
    <t>Наименование  объекта:   2-х этажный жилой дом по адресу: Хабаровский край, Ванинский МР, пос. Ванино, ул. Украинская, д.1</t>
  </si>
  <si>
    <t>Год постройки     1965-67</t>
  </si>
  <si>
    <t>Объем здания, м3              2075</t>
  </si>
  <si>
    <t>Здание жилое                    2 этажа     2 подъезда</t>
  </si>
  <si>
    <t>Вид проектных или изыскательских работ:   На разработку проектной документации на капитальный ремонт крыши  по адресу:  Хабаровский край, Ванинский МР, пос. Ванино, ул. Украинская, д.1</t>
  </si>
  <si>
    <t xml:space="preserve">                (должность, подпись, расшифровка)</t>
  </si>
  <si>
    <t xml:space="preserve">           (должность, подпись, расшифровка)</t>
  </si>
  <si>
    <t xml:space="preserve">Директор НО "Хабаровский краевой фонд  капитального ремонта" </t>
  </si>
  <si>
    <t>____________________________А.В.Сидорова</t>
  </si>
  <si>
    <t>" _____ " ________________ 2017 г.</t>
  </si>
  <si>
    <t>Составил: главный специалист СО НО "Хабаровский краевой фонд капитального ремонта"/___________/Е.Ю. Корниенко</t>
  </si>
  <si>
    <r>
      <t xml:space="preserve">                                           Проверил : _</t>
    </r>
    <r>
      <rPr>
        <u/>
        <sz val="9"/>
        <rFont val="Times New Roman"/>
        <family val="1"/>
        <charset val="204"/>
      </rPr>
      <t>Начальник СО НО "Хабаровский краевой фонд капитального ремонта"</t>
    </r>
    <r>
      <rPr>
        <sz val="9"/>
        <rFont val="Times New Roman"/>
        <family val="1"/>
        <charset val="204"/>
      </rPr>
      <t>/_____________Е.С. Сорокина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</si>
</sst>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i/>
      <sz val="10"/>
      <name val="Arial Cyr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Arial"/>
      <family val="2"/>
      <charset val="204"/>
    </font>
    <font>
      <u/>
      <sz val="9"/>
      <name val="Times New Roman"/>
      <family val="1"/>
      <charset val="204"/>
    </font>
    <font>
      <sz val="8"/>
      <color rgb="FF000000"/>
      <name val="Arial Cy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3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  <xf numFmtId="0" fontId="6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top"/>
    </xf>
    <xf numFmtId="0" fontId="6" fillId="0" borderId="0"/>
    <xf numFmtId="0" fontId="6" fillId="0" borderId="0"/>
    <xf numFmtId="0" fontId="6" fillId="0" borderId="0"/>
  </cellStyleXfs>
  <cellXfs count="77">
    <xf numFmtId="0" fontId="0" fillId="0" borderId="0" xfId="0"/>
    <xf numFmtId="0" fontId="6" fillId="0" borderId="0" xfId="0" applyFont="1"/>
    <xf numFmtId="0" fontId="8" fillId="0" borderId="0" xfId="0" applyFont="1"/>
    <xf numFmtId="0" fontId="8" fillId="0" borderId="0" xfId="21" applyFont="1" applyBorder="1">
      <alignment horizontal="center"/>
    </xf>
    <xf numFmtId="0" fontId="8" fillId="0" borderId="0" xfId="21" applyFont="1" applyBorder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0" fontId="8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right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10" fontId="8" fillId="0" borderId="4" xfId="0" applyNumberFormat="1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2" fontId="8" fillId="0" borderId="4" xfId="0" applyNumberFormat="1" applyFont="1" applyBorder="1" applyAlignment="1">
      <alignment horizontal="right" vertical="top" wrapText="1"/>
    </xf>
    <xf numFmtId="2" fontId="9" fillId="0" borderId="4" xfId="0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2" fontId="9" fillId="0" borderId="1" xfId="5" applyNumberFormat="1" applyFont="1" applyBorder="1" applyAlignment="1">
      <alignment horizontal="right" vertical="top" wrapText="1"/>
    </xf>
    <xf numFmtId="0" fontId="0" fillId="0" borderId="0" xfId="0"/>
    <xf numFmtId="0" fontId="8" fillId="0" borderId="0" xfId="0" applyFont="1"/>
    <xf numFmtId="0" fontId="11" fillId="0" borderId="0" xfId="0" applyFont="1" applyAlignment="1">
      <alignment horizontal="right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7" fillId="0" borderId="0" xfId="0" applyFont="1"/>
    <xf numFmtId="0" fontId="11" fillId="0" borderId="0" xfId="0" applyFont="1"/>
    <xf numFmtId="0" fontId="17" fillId="0" borderId="0" xfId="0" applyFont="1" applyAlignment="1">
      <alignment horizontal="right"/>
    </xf>
    <xf numFmtId="0" fontId="17" fillId="0" borderId="0" xfId="0" applyFont="1" applyAlignment="1">
      <alignment horizontal="left" vertical="top"/>
    </xf>
    <xf numFmtId="0" fontId="17" fillId="0" borderId="0" xfId="0" applyFont="1" applyAlignment="1">
      <alignment wrapText="1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0" fontId="8" fillId="0" borderId="4" xfId="0" applyNumberFormat="1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12" applyFont="1" applyBorder="1">
      <alignment horizontal="center" wrapText="1"/>
    </xf>
    <xf numFmtId="0" fontId="17" fillId="0" borderId="0" xfId="0" applyFont="1" applyAlignment="1">
      <alignment horizontal="left"/>
    </xf>
    <xf numFmtId="0" fontId="8" fillId="0" borderId="2" xfId="0" applyFont="1" applyBorder="1" applyAlignment="1">
      <alignment horizontal="center" vertical="center" wrapText="1"/>
    </xf>
    <xf numFmtId="0" fontId="11" fillId="0" borderId="0" xfId="0" applyFont="1"/>
    <xf numFmtId="0" fontId="19" fillId="0" borderId="0" xfId="0" applyFont="1"/>
    <xf numFmtId="49" fontId="17" fillId="0" borderId="0" xfId="0" applyNumberFormat="1" applyFont="1" applyAlignment="1">
      <alignment horizontal="left" vertical="top" wrapText="1"/>
    </xf>
    <xf numFmtId="0" fontId="17" fillId="0" borderId="0" xfId="0" applyFont="1" applyAlignment="1">
      <alignment horizontal="right" vertical="top" wrapText="1"/>
    </xf>
    <xf numFmtId="0" fontId="17" fillId="0" borderId="0" xfId="0" applyFont="1" applyAlignment="1">
      <alignment horizontal="right" vertical="top"/>
    </xf>
    <xf numFmtId="0" fontId="17" fillId="0" borderId="0" xfId="0" applyFont="1" applyAlignment="1">
      <alignment horizontal="center" vertical="top" wrapText="1"/>
    </xf>
    <xf numFmtId="0" fontId="17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vertical="top"/>
    </xf>
    <xf numFmtId="0" fontId="1" fillId="0" borderId="0" xfId="0" applyFont="1"/>
    <xf numFmtId="0" fontId="18" fillId="0" borderId="0" xfId="0" applyFont="1" applyAlignment="1">
      <alignment horizontal="center" vertical="top" wrapText="1"/>
    </xf>
    <xf numFmtId="0" fontId="11" fillId="0" borderId="0" xfId="0" applyFont="1" applyAlignment="1"/>
    <xf numFmtId="0" fontId="17" fillId="0" borderId="0" xfId="0" applyFont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8" fillId="0" borderId="1" xfId="5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9" fillId="0" borderId="1" xfId="5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7" fillId="0" borderId="0" xfId="0" applyFont="1" applyAlignment="1"/>
    <xf numFmtId="0" fontId="17" fillId="0" borderId="0" xfId="0" applyFont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0" fillId="0" borderId="0" xfId="21" applyFont="1" applyBorder="1" applyAlignment="1">
      <alignment horizontal="left" vertical="top" wrapText="1"/>
    </xf>
    <xf numFmtId="0" fontId="8" fillId="0" borderId="0" xfId="21" applyFont="1" applyBorder="1" applyAlignment="1">
      <alignment horizontal="left" wrapText="1"/>
    </xf>
    <xf numFmtId="0" fontId="16" fillId="0" borderId="0" xfId="0" applyFont="1" applyAlignment="1">
      <alignment horizontal="right" vertical="top"/>
    </xf>
    <xf numFmtId="0" fontId="17" fillId="0" borderId="0" xfId="0" applyFont="1" applyAlignment="1">
      <alignment horizontal="right" vertical="top"/>
    </xf>
    <xf numFmtId="0" fontId="8" fillId="0" borderId="0" xfId="0" applyFont="1" applyAlignment="1">
      <alignment horizontal="center"/>
    </xf>
    <xf numFmtId="0" fontId="7" fillId="0" borderId="0" xfId="21" applyFont="1">
      <alignment horizontal="center"/>
    </xf>
  </cellXfs>
  <cellStyles count="33">
    <cellStyle name="Акт" xfId="1"/>
    <cellStyle name="АктМТСН" xfId="2"/>
    <cellStyle name="АктМТСН 2" xfId="24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БИМ 2" xfId="25"/>
    <cellStyle name="ИтогоАктРесМет" xfId="8"/>
    <cellStyle name="ИтогоАктРесМет 2" xfId="26"/>
    <cellStyle name="ИтогоБазЦ" xfId="9"/>
    <cellStyle name="ИтогоБИМ" xfId="10"/>
    <cellStyle name="ИтогоБИМ 2" xfId="27"/>
    <cellStyle name="ИтогоРесМет" xfId="11"/>
    <cellStyle name="ИтогоРесМет 2" xfId="28"/>
    <cellStyle name="ЛокСмета" xfId="12"/>
    <cellStyle name="ЛокСмМТСН" xfId="13"/>
    <cellStyle name="ЛокСмМТСН 2" xfId="29"/>
    <cellStyle name="М29" xfId="14"/>
    <cellStyle name="М29 2" xfId="30"/>
    <cellStyle name="ОбСмета" xfId="15"/>
    <cellStyle name="ОбСмета 2" xfId="31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СводРасч 2" xfId="32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A55"/>
  <sheetViews>
    <sheetView showGridLines="0" tabSelected="1" view="pageBreakPreview" topLeftCell="A37" zoomScaleNormal="120" zoomScaleSheetLayoutView="100" workbookViewId="0">
      <selection activeCell="E48" sqref="E48"/>
    </sheetView>
  </sheetViews>
  <sheetFormatPr defaultRowHeight="12.75" x14ac:dyDescent="0.2"/>
  <cols>
    <col min="1" max="1" width="5.7109375" style="1" customWidth="1"/>
    <col min="2" max="3" width="29.42578125" style="1" customWidth="1"/>
    <col min="4" max="4" width="16.85546875" style="1" customWidth="1"/>
    <col min="5" max="5" width="22.140625" style="1" customWidth="1"/>
    <col min="6" max="10" width="22.140625" style="1" hidden="1" customWidth="1"/>
    <col min="11" max="11" width="73.7109375" style="1" customWidth="1"/>
    <col min="12" max="12" width="15" style="1" hidden="1" customWidth="1"/>
    <col min="13" max="13" width="15" style="1" customWidth="1"/>
    <col min="14" max="15" width="10.85546875" style="1" hidden="1" customWidth="1"/>
    <col min="16" max="16" width="13.140625" style="1" customWidth="1"/>
    <col min="17" max="18" width="9.140625" style="1" customWidth="1"/>
    <col min="19" max="26" width="9.140625" style="1"/>
    <col min="27" max="27" width="79.28515625" style="8" customWidth="1"/>
    <col min="28" max="16384" width="9.140625" style="1"/>
  </cols>
  <sheetData>
    <row r="1" spans="1:16" x14ac:dyDescent="0.2">
      <c r="A1" s="72"/>
      <c r="B1" s="72"/>
      <c r="C1" s="72"/>
      <c r="D1" s="7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4" t="s">
        <v>4</v>
      </c>
    </row>
    <row r="2" spans="1:16" ht="12.75" customHeight="1" x14ac:dyDescent="0.2">
      <c r="A2" s="25"/>
      <c r="B2" s="26"/>
      <c r="C2" s="27"/>
      <c r="D2" s="40"/>
      <c r="E2" s="40"/>
      <c r="F2" s="27"/>
      <c r="G2" s="29" t="s">
        <v>4</v>
      </c>
      <c r="H2" s="27"/>
      <c r="I2" s="27"/>
      <c r="J2" s="40"/>
      <c r="K2" s="73" t="s">
        <v>49</v>
      </c>
      <c r="L2" s="73"/>
      <c r="M2" s="73"/>
      <c r="N2" s="73"/>
      <c r="O2" s="73"/>
      <c r="P2" s="73"/>
    </row>
    <row r="3" spans="1:16" x14ac:dyDescent="0.2">
      <c r="A3" s="49"/>
      <c r="B3" s="49"/>
      <c r="C3" s="27"/>
      <c r="D3" s="40"/>
      <c r="E3" s="47"/>
      <c r="F3" s="27"/>
      <c r="G3" s="27"/>
      <c r="H3" s="27"/>
      <c r="I3" s="27"/>
      <c r="J3" s="40"/>
      <c r="K3" s="74" t="s">
        <v>64</v>
      </c>
      <c r="L3" s="74"/>
      <c r="M3" s="74"/>
      <c r="N3" s="74"/>
      <c r="O3" s="74"/>
      <c r="P3" s="74"/>
    </row>
    <row r="4" spans="1:16" x14ac:dyDescent="0.2">
      <c r="A4" s="49"/>
      <c r="B4" s="49"/>
      <c r="C4" s="27"/>
      <c r="D4" s="40"/>
      <c r="E4" s="48"/>
      <c r="F4" s="27"/>
      <c r="G4" s="27"/>
      <c r="H4" s="27"/>
      <c r="I4" s="27"/>
      <c r="J4" s="40"/>
      <c r="K4" s="49"/>
      <c r="L4" s="29"/>
      <c r="M4" s="48"/>
      <c r="N4" s="48"/>
      <c r="O4" s="48"/>
      <c r="P4" s="44"/>
    </row>
    <row r="5" spans="1:16" x14ac:dyDescent="0.2">
      <c r="A5" s="49"/>
      <c r="B5" s="49"/>
      <c r="C5" s="27"/>
      <c r="D5" s="48"/>
      <c r="E5" s="27"/>
      <c r="F5" s="27"/>
      <c r="G5" s="27"/>
      <c r="H5" s="27"/>
      <c r="I5" s="27"/>
      <c r="J5" s="40"/>
      <c r="K5" s="49"/>
      <c r="L5" s="29"/>
      <c r="M5" s="40"/>
      <c r="N5" s="40"/>
      <c r="O5" s="40"/>
      <c r="P5" s="44" t="s">
        <v>65</v>
      </c>
    </row>
    <row r="6" spans="1:16" x14ac:dyDescent="0.2">
      <c r="A6" s="49"/>
      <c r="B6" s="49"/>
      <c r="C6" s="27"/>
      <c r="D6" s="30"/>
      <c r="E6" s="27"/>
      <c r="F6" s="27"/>
      <c r="G6" s="27"/>
      <c r="H6" s="27"/>
      <c r="I6" s="27"/>
      <c r="J6" s="40"/>
      <c r="K6" s="49"/>
      <c r="L6" s="29"/>
      <c r="M6" s="40"/>
      <c r="N6" s="40"/>
      <c r="O6" s="40"/>
      <c r="P6" s="44" t="s">
        <v>66</v>
      </c>
    </row>
    <row r="7" spans="1:16" ht="12.75" customHeight="1" x14ac:dyDescent="0.2">
      <c r="A7" s="30"/>
      <c r="B7" s="27"/>
      <c r="C7" s="27"/>
      <c r="D7" s="30"/>
      <c r="E7" s="27"/>
      <c r="F7" s="27"/>
      <c r="G7" s="27"/>
      <c r="H7" s="27"/>
      <c r="I7" s="27"/>
      <c r="J7" s="40"/>
      <c r="K7" s="44"/>
      <c r="L7" s="27"/>
      <c r="M7" s="30"/>
      <c r="N7" s="27"/>
      <c r="O7" s="30"/>
      <c r="P7" s="27"/>
    </row>
    <row r="8" spans="1:16" x14ac:dyDescent="0.2">
      <c r="A8" s="30"/>
      <c r="B8" s="27"/>
      <c r="C8" s="27"/>
      <c r="D8" s="30"/>
      <c r="E8" s="27"/>
      <c r="F8" s="27"/>
      <c r="G8" s="27"/>
      <c r="H8" s="27"/>
      <c r="I8" s="27"/>
      <c r="J8" s="40"/>
      <c r="K8" s="44"/>
      <c r="L8" s="27"/>
      <c r="M8" s="30"/>
      <c r="N8" s="27"/>
      <c r="O8" s="30" t="s">
        <v>50</v>
      </c>
      <c r="P8" s="27"/>
    </row>
    <row r="9" spans="1:16" x14ac:dyDescent="0.2">
      <c r="A9" s="30"/>
      <c r="B9" s="27"/>
      <c r="C9" s="27"/>
      <c r="D9" s="30"/>
      <c r="E9" s="27"/>
      <c r="F9" s="27"/>
      <c r="G9" s="27"/>
      <c r="H9" s="27"/>
      <c r="I9" s="27"/>
      <c r="J9" s="28"/>
      <c r="K9" s="28"/>
      <c r="L9" s="28"/>
      <c r="M9" s="28"/>
      <c r="N9" s="28"/>
      <c r="O9" s="28"/>
      <c r="P9" s="28"/>
    </row>
    <row r="10" spans="1:16" ht="15.75" x14ac:dyDescent="0.25">
      <c r="A10" s="76" t="s">
        <v>51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</row>
    <row r="11" spans="1:16" x14ac:dyDescent="0.2">
      <c r="A11" s="75" t="s">
        <v>1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</row>
    <row r="12" spans="1:16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ht="16.5" customHeight="1" x14ac:dyDescent="0.2">
      <c r="A13" s="38" t="s">
        <v>57</v>
      </c>
      <c r="B13" s="38"/>
      <c r="C13" s="38"/>
      <c r="D13" s="38"/>
      <c r="E13" s="38"/>
      <c r="F13" s="38"/>
      <c r="G13" s="65"/>
      <c r="H13" s="65"/>
      <c r="I13" s="65"/>
      <c r="J13" s="65"/>
      <c r="K13" s="65"/>
      <c r="L13" s="28"/>
      <c r="M13" s="28"/>
      <c r="N13" s="28"/>
      <c r="O13" s="28"/>
      <c r="P13" s="28"/>
    </row>
    <row r="14" spans="1:16" s="5" customFormat="1" ht="15" customHeight="1" x14ac:dyDescent="0.2">
      <c r="A14" s="65" t="s">
        <v>58</v>
      </c>
      <c r="B14" s="65"/>
      <c r="C14" s="31"/>
      <c r="D14" s="32"/>
      <c r="E14" s="27"/>
      <c r="F14" s="27"/>
      <c r="G14" s="27"/>
      <c r="H14" s="27"/>
      <c r="I14" s="27"/>
      <c r="J14" s="28"/>
      <c r="K14" s="28" t="s">
        <v>52</v>
      </c>
      <c r="L14" s="28"/>
      <c r="M14" s="28"/>
      <c r="N14" s="28"/>
      <c r="O14" s="28"/>
      <c r="P14" s="28"/>
    </row>
    <row r="15" spans="1:16" s="5" customFormat="1" ht="13.5" customHeight="1" x14ac:dyDescent="0.2">
      <c r="A15" s="65" t="s">
        <v>59</v>
      </c>
      <c r="B15" s="65"/>
      <c r="C15" s="31"/>
      <c r="D15" s="32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</row>
    <row r="16" spans="1:16" x14ac:dyDescent="0.2">
      <c r="A16" s="65" t="s">
        <v>60</v>
      </c>
      <c r="B16" s="65"/>
      <c r="C16" s="65"/>
      <c r="D16" s="33"/>
      <c r="E16" s="27"/>
      <c r="F16" s="27"/>
      <c r="G16" s="27"/>
      <c r="H16" s="27"/>
      <c r="I16" s="27"/>
      <c r="J16" s="28"/>
      <c r="K16" s="28"/>
      <c r="L16" s="28"/>
      <c r="M16" s="28"/>
      <c r="N16" s="28"/>
      <c r="O16" s="28"/>
      <c r="P16" s="28"/>
    </row>
    <row r="17" spans="1:27" s="6" customFormat="1" ht="15.75" customHeight="1" x14ac:dyDescent="0.2">
      <c r="A17" s="66" t="s">
        <v>61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28"/>
      <c r="M17" s="28"/>
      <c r="N17" s="28"/>
      <c r="O17" s="28"/>
      <c r="P17" s="28"/>
    </row>
    <row r="18" spans="1:27" s="7" customFormat="1" ht="17.850000000000001" customHeight="1" x14ac:dyDescent="0.2">
      <c r="A18" s="66" t="s">
        <v>53</v>
      </c>
      <c r="B18" s="66"/>
      <c r="C18" s="66"/>
      <c r="D18" s="66"/>
      <c r="E18" s="66"/>
      <c r="F18" s="66"/>
      <c r="G18" s="27"/>
      <c r="H18" s="27"/>
      <c r="I18" s="27"/>
      <c r="J18" s="28"/>
      <c r="K18" s="28"/>
      <c r="L18" s="28"/>
      <c r="M18" s="28"/>
      <c r="N18" s="28"/>
      <c r="O18" s="28"/>
      <c r="P18" s="28"/>
      <c r="Q18" s="6"/>
      <c r="R18" s="6"/>
      <c r="S18" s="6"/>
      <c r="T18" s="6"/>
      <c r="U18" s="6"/>
      <c r="AA18" s="6"/>
    </row>
    <row r="19" spans="1:27" x14ac:dyDescent="0.2">
      <c r="A19" s="2"/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4"/>
      <c r="Q19" s="6"/>
      <c r="R19" s="6"/>
      <c r="S19" s="6"/>
      <c r="T19" s="6"/>
      <c r="U19" s="6"/>
    </row>
    <row r="20" spans="1:27" ht="27" customHeight="1" x14ac:dyDescent="0.2">
      <c r="A20" s="67" t="s">
        <v>0</v>
      </c>
      <c r="B20" s="67" t="s">
        <v>2</v>
      </c>
      <c r="C20" s="67" t="s">
        <v>3</v>
      </c>
      <c r="D20" s="67" t="s">
        <v>5</v>
      </c>
      <c r="E20" s="67" t="s">
        <v>54</v>
      </c>
      <c r="F20" s="36"/>
      <c r="G20" s="36"/>
      <c r="H20" s="36"/>
      <c r="I20" s="36"/>
      <c r="J20" s="36"/>
      <c r="K20" s="67" t="s">
        <v>55</v>
      </c>
      <c r="L20" s="36"/>
      <c r="M20" s="67" t="s">
        <v>56</v>
      </c>
      <c r="N20" s="62" t="s">
        <v>9</v>
      </c>
      <c r="O20" s="63"/>
      <c r="P20" s="64"/>
      <c r="Q20" s="6"/>
      <c r="R20" s="6"/>
      <c r="S20" s="6"/>
      <c r="T20" s="6"/>
      <c r="U20" s="6"/>
    </row>
    <row r="21" spans="1:27" ht="58.5" customHeight="1" x14ac:dyDescent="0.2">
      <c r="A21" s="68"/>
      <c r="B21" s="68"/>
      <c r="C21" s="68"/>
      <c r="D21" s="68"/>
      <c r="E21" s="68"/>
      <c r="F21" s="36"/>
      <c r="G21" s="36"/>
      <c r="H21" s="36"/>
      <c r="I21" s="36"/>
      <c r="J21" s="36"/>
      <c r="K21" s="68"/>
      <c r="L21" s="36"/>
      <c r="M21" s="68"/>
      <c r="N21" s="39" t="s">
        <v>6</v>
      </c>
      <c r="O21" s="39" t="s">
        <v>7</v>
      </c>
      <c r="P21" s="39" t="s">
        <v>8</v>
      </c>
      <c r="Q21" s="6"/>
      <c r="R21" s="6"/>
      <c r="S21" s="6"/>
      <c r="T21" s="6"/>
      <c r="U21" s="6"/>
    </row>
    <row r="22" spans="1:27" x14ac:dyDescent="0.2">
      <c r="A22" s="37">
        <v>1</v>
      </c>
      <c r="B22" s="37">
        <v>2</v>
      </c>
      <c r="C22" s="37">
        <v>3</v>
      </c>
      <c r="D22" s="37">
        <v>4</v>
      </c>
      <c r="E22" s="37">
        <v>5</v>
      </c>
      <c r="F22" s="37"/>
      <c r="G22" s="37"/>
      <c r="H22" s="37"/>
      <c r="I22" s="37"/>
      <c r="J22" s="37"/>
      <c r="K22" s="37">
        <v>6</v>
      </c>
      <c r="L22" s="37"/>
      <c r="M22" s="37">
        <v>7</v>
      </c>
      <c r="N22" s="37">
        <v>5</v>
      </c>
      <c r="O22" s="37">
        <v>6</v>
      </c>
      <c r="P22" s="37">
        <v>8</v>
      </c>
      <c r="Q22" s="6"/>
      <c r="R22" s="6"/>
      <c r="S22" s="6"/>
      <c r="T22" s="6"/>
      <c r="U22" s="6"/>
    </row>
    <row r="23" spans="1:27" ht="21" customHeight="1" x14ac:dyDescent="0.2">
      <c r="A23" s="58" t="s">
        <v>10</v>
      </c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6"/>
      <c r="R23" s="6"/>
      <c r="S23" s="6"/>
      <c r="T23" s="6"/>
      <c r="U23" s="6"/>
    </row>
    <row r="24" spans="1:27" x14ac:dyDescent="0.2">
      <c r="A24" s="60" t="s">
        <v>11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"/>
      <c r="R24" s="6"/>
      <c r="S24" s="6"/>
      <c r="T24" s="6"/>
      <c r="U24" s="6"/>
    </row>
    <row r="25" spans="1:27" ht="63.75" x14ac:dyDescent="0.2">
      <c r="A25" s="9">
        <v>1</v>
      </c>
      <c r="B25" s="10" t="s">
        <v>12</v>
      </c>
      <c r="C25" s="10" t="s">
        <v>13</v>
      </c>
      <c r="D25" s="11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(2075 / 100) * 33.07 * 0,75*0,1177*1,1</v>
      </c>
      <c r="E25" s="12">
        <f>IF( 20.75 = "","0",20.75)</f>
        <v>20.75</v>
      </c>
      <c r="F25" s="12" t="str">
        <f ca="1">IF(INDIRECT("J" &amp; ROW())="текущие цены", IF(INDIRECT("G" &amp; ROW())="", "0", "0"), IF(INDIRECT("G" &amp; ROW())="", "3.21","33.07"))</f>
        <v>33.07</v>
      </c>
      <c r="G25" s="12" t="s">
        <v>14</v>
      </c>
      <c r="H25" s="12" t="s">
        <v>15</v>
      </c>
      <c r="I25" s="12"/>
      <c r="J25" s="12" t="s">
        <v>16</v>
      </c>
      <c r="K25" s="35" t="s">
        <v>17</v>
      </c>
      <c r="L25" s="12">
        <v>1</v>
      </c>
      <c r="M25" s="12" t="s">
        <v>18</v>
      </c>
      <c r="N25" s="13">
        <f ca="1">IF(ISNUMBER(INDIRECT("P" &amp; ROW())), INDIRECT("P" &amp; ROW())*0.4, " ")</f>
        <v>26.8</v>
      </c>
      <c r="O25" s="13">
        <f ca="1">IF(ISNUMBER(INDIRECT("P" &amp; ROW())), INDIRECT("P" &amp; ROW())*0.6, " ")</f>
        <v>40.199999999999996</v>
      </c>
      <c r="P25" s="13">
        <f ca="1">IF(INDIRECT("J" &amp; ROW())="текущие цены", 0, 67)</f>
        <v>67</v>
      </c>
      <c r="Q25" s="6"/>
      <c r="R25" s="6"/>
      <c r="S25" s="6"/>
      <c r="T25" s="6"/>
      <c r="U25" s="6"/>
    </row>
    <row r="26" spans="1:27" ht="17.850000000000001" customHeight="1" x14ac:dyDescent="0.2">
      <c r="A26" s="60" t="s">
        <v>19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"/>
      <c r="R26" s="6"/>
      <c r="S26" s="6"/>
      <c r="T26" s="6"/>
      <c r="U26" s="6"/>
    </row>
    <row r="27" spans="1:27" ht="63.75" x14ac:dyDescent="0.2">
      <c r="A27" s="14">
        <v>2</v>
      </c>
      <c r="B27" s="15" t="s">
        <v>12</v>
      </c>
      <c r="C27" s="15" t="s">
        <v>13</v>
      </c>
      <c r="D27" s="16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(2075 / 100) * 33.07 * 0,034*1,1</v>
      </c>
      <c r="E27" s="17">
        <f>IF( 20.75 = "","0",20.75)</f>
        <v>20.75</v>
      </c>
      <c r="F27" s="17" t="str">
        <f ca="1">IF(INDIRECT("J" &amp; ROW())="текущие цены", IF(INDIRECT("G" &amp; ROW())="", "0", "0"), IF(INDIRECT("G" &amp; ROW())="", "1.23","33.07"))</f>
        <v>33.07</v>
      </c>
      <c r="G27" s="17" t="s">
        <v>20</v>
      </c>
      <c r="H27" s="17" t="s">
        <v>15</v>
      </c>
      <c r="I27" s="17"/>
      <c r="J27" s="17" t="s">
        <v>16</v>
      </c>
      <c r="K27" s="34" t="s">
        <v>21</v>
      </c>
      <c r="L27" s="17">
        <v>1</v>
      </c>
      <c r="M27" s="17" t="s">
        <v>18</v>
      </c>
      <c r="N27" s="18">
        <f ca="1">IF(ISNUMBER(INDIRECT("P" &amp; ROW())), INDIRECT("P" &amp; ROW())*0.4, " ")</f>
        <v>10.4</v>
      </c>
      <c r="O27" s="18">
        <f ca="1">IF(ISNUMBER(INDIRECT("P" &amp; ROW())), INDIRECT("P" &amp; ROW())*0.6, " ")</f>
        <v>15.6</v>
      </c>
      <c r="P27" s="18">
        <f ca="1">IF(INDIRECT("J" &amp; ROW())="текущие цены", 0, 26)</f>
        <v>26</v>
      </c>
      <c r="Q27" s="6"/>
      <c r="R27" s="6"/>
      <c r="S27" s="6"/>
      <c r="T27" s="6"/>
      <c r="U27" s="6"/>
    </row>
    <row r="28" spans="1:27" x14ac:dyDescent="0.2">
      <c r="A28" s="69" t="s">
        <v>22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19">
        <f ca="1">IF(ISNUMBER(INDIRECT("P" &amp; ROW())), INDIRECT("P" &amp; ROW()) * 0.4, " ")</f>
        <v>1122.4000000000001</v>
      </c>
      <c r="O28" s="19">
        <f ca="1">IF(ISNUMBER(INDIRECT("P" &amp; ROW())), INDIRECT("P" &amp; ROW()) * 0.6, " ")</f>
        <v>1683.6</v>
      </c>
      <c r="P28" s="19">
        <v>2806</v>
      </c>
      <c r="Q28" s="6"/>
      <c r="R28" s="6"/>
      <c r="S28" s="6"/>
      <c r="T28" s="6"/>
      <c r="U28" s="6"/>
    </row>
    <row r="29" spans="1:27" ht="17.850000000000001" customHeight="1" x14ac:dyDescent="0.2">
      <c r="A29" s="58" t="s">
        <v>23</v>
      </c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6"/>
      <c r="R29" s="6"/>
      <c r="S29" s="6"/>
      <c r="T29" s="6"/>
      <c r="U29" s="6"/>
    </row>
    <row r="30" spans="1:27" ht="114.75" x14ac:dyDescent="0.2">
      <c r="A30" s="9">
        <v>3</v>
      </c>
      <c r="B30" s="10" t="s">
        <v>24</v>
      </c>
      <c r="C30" s="10" t="s">
        <v>25</v>
      </c>
      <c r="D30" s="11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90000 * 0,072*0,4*1,1</v>
      </c>
      <c r="E30" s="12">
        <f>IF( 1 = "","0",1)</f>
        <v>1</v>
      </c>
      <c r="F30" s="12" t="str">
        <f ca="1">IF(INDIRECT("J" &amp; ROW())="текущие цены", IF(INDIRECT("G" &amp; ROW())="", "0", "0"), IF(INDIRECT("G" &amp; ROW())="", "2851.2","90000"))</f>
        <v>90000</v>
      </c>
      <c r="G30" s="12" t="s">
        <v>26</v>
      </c>
      <c r="H30" s="12"/>
      <c r="I30" s="12"/>
      <c r="J30" s="12" t="s">
        <v>16</v>
      </c>
      <c r="K30" s="35" t="s">
        <v>27</v>
      </c>
      <c r="L30" s="12">
        <v>2</v>
      </c>
      <c r="M30" s="12" t="s">
        <v>28</v>
      </c>
      <c r="N30" s="13">
        <f ca="1">IF(ISNUMBER(INDIRECT("P" &amp; ROW())), INDIRECT("P" &amp; ROW())*0.4, " ")</f>
        <v>1140.4000000000001</v>
      </c>
      <c r="O30" s="13">
        <f ca="1">IF(ISNUMBER(INDIRECT("P" &amp; ROW())), INDIRECT("P" &amp; ROW())*0.6, " ")</f>
        <v>1710.6</v>
      </c>
      <c r="P30" s="13">
        <f ca="1">IF(INDIRECT("J" &amp; ROW())="текущие цены", 0, 2851)</f>
        <v>2851</v>
      </c>
      <c r="Q30" s="6"/>
      <c r="R30" s="6"/>
      <c r="S30" s="6"/>
      <c r="T30" s="6"/>
      <c r="U30" s="6"/>
    </row>
    <row r="31" spans="1:27" ht="114.75" x14ac:dyDescent="0.2">
      <c r="A31" s="9">
        <v>4</v>
      </c>
      <c r="B31" s="10" t="s">
        <v>24</v>
      </c>
      <c r="C31" s="10" t="s">
        <v>29</v>
      </c>
      <c r="D31" s="11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2075 * 10 * 0,072*0,4*1,1</v>
      </c>
      <c r="E31" s="12">
        <f>IF( 2075 = "","0",2075)</f>
        <v>2075</v>
      </c>
      <c r="F31" s="12" t="str">
        <f ca="1">IF(INDIRECT("J" &amp; ROW())="текущие цены", IF(INDIRECT("G" &amp; ROW())="", "0", "0"), IF(INDIRECT("G" &amp; ROW())="", "0.32","10"))</f>
        <v>10</v>
      </c>
      <c r="G31" s="12" t="s">
        <v>26</v>
      </c>
      <c r="H31" s="12"/>
      <c r="I31" s="12"/>
      <c r="J31" s="12" t="s">
        <v>16</v>
      </c>
      <c r="K31" s="35" t="s">
        <v>30</v>
      </c>
      <c r="L31" s="12">
        <v>2</v>
      </c>
      <c r="M31" s="12" t="s">
        <v>31</v>
      </c>
      <c r="N31" s="13">
        <f ca="1">IF(ISNUMBER(INDIRECT("P" &amp; ROW())), INDIRECT("P" &amp; ROW())*0.4, " ")</f>
        <v>265.60000000000002</v>
      </c>
      <c r="O31" s="13">
        <f ca="1">IF(ISNUMBER(INDIRECT("P" &amp; ROW())), INDIRECT("P" &amp; ROW())*0.6, " ")</f>
        <v>398.4</v>
      </c>
      <c r="P31" s="13">
        <f ca="1">IF(INDIRECT("J" &amp; ROW())="текущие цены", 0, 664)</f>
        <v>664</v>
      </c>
      <c r="Q31" s="6"/>
      <c r="R31" s="6"/>
      <c r="S31" s="6"/>
      <c r="T31" s="6"/>
      <c r="U31" s="6"/>
    </row>
    <row r="32" spans="1:27" x14ac:dyDescent="0.2">
      <c r="A32" s="60" t="s">
        <v>32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"/>
      <c r="R32" s="6"/>
      <c r="S32" s="6"/>
      <c r="T32" s="6"/>
      <c r="U32" s="6"/>
    </row>
    <row r="33" spans="1:21" ht="127.5" x14ac:dyDescent="0.2">
      <c r="A33" s="9">
        <v>5</v>
      </c>
      <c r="B33" s="10" t="s">
        <v>24</v>
      </c>
      <c r="C33" s="10" t="s">
        <v>25</v>
      </c>
      <c r="D33" s="11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90000 * 0,072*0,04*0,4*1,1</v>
      </c>
      <c r="E33" s="12">
        <f>IF( 1 = "","0",1)</f>
        <v>1</v>
      </c>
      <c r="F33" s="12" t="str">
        <f ca="1">IF(INDIRECT("J" &amp; ROW())="текущие цены", IF(INDIRECT("G" &amp; ROW())="", "0", "0"), IF(INDIRECT("G" &amp; ROW())="", "114.05","90000"))</f>
        <v>90000</v>
      </c>
      <c r="G33" s="12" t="s">
        <v>33</v>
      </c>
      <c r="H33" s="12"/>
      <c r="I33" s="12"/>
      <c r="J33" s="12" t="s">
        <v>16</v>
      </c>
      <c r="K33" s="35" t="s">
        <v>34</v>
      </c>
      <c r="L33" s="12">
        <v>2</v>
      </c>
      <c r="M33" s="12" t="s">
        <v>28</v>
      </c>
      <c r="N33" s="13">
        <f ca="1">IF(ISNUMBER(INDIRECT("P" &amp; ROW())), INDIRECT("P" &amp; ROW())*0.4, " ")</f>
        <v>45.6</v>
      </c>
      <c r="O33" s="13">
        <f ca="1">IF(ISNUMBER(INDIRECT("P" &amp; ROW())), INDIRECT("P" &amp; ROW())*0.6, " ")</f>
        <v>68.399999999999991</v>
      </c>
      <c r="P33" s="13">
        <f ca="1">IF(INDIRECT("J" &amp; ROW())="текущие цены", 0, 114)</f>
        <v>114</v>
      </c>
      <c r="Q33" s="6"/>
      <c r="R33" s="6"/>
      <c r="S33" s="6"/>
      <c r="T33" s="6"/>
      <c r="U33" s="6"/>
    </row>
    <row r="34" spans="1:21" ht="127.5" x14ac:dyDescent="0.2">
      <c r="A34" s="9">
        <v>6</v>
      </c>
      <c r="B34" s="10" t="s">
        <v>24</v>
      </c>
      <c r="C34" s="10" t="s">
        <v>29</v>
      </c>
      <c r="D34" s="11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2075 * 10 * 0,072*0,04*0,4*1,1</v>
      </c>
      <c r="E34" s="12">
        <f>IF( 2075 = "","0",2075)</f>
        <v>2075</v>
      </c>
      <c r="F34" s="12" t="str">
        <f ca="1">IF(INDIRECT("J" &amp; ROW())="текущие цены", IF(INDIRECT("G" &amp; ROW())="", "0", "0"), IF(INDIRECT("G" &amp; ROW())="", "0.01","10"))</f>
        <v>10</v>
      </c>
      <c r="G34" s="12" t="s">
        <v>33</v>
      </c>
      <c r="H34" s="12"/>
      <c r="I34" s="12"/>
      <c r="J34" s="12" t="s">
        <v>16</v>
      </c>
      <c r="K34" s="35" t="s">
        <v>34</v>
      </c>
      <c r="L34" s="12">
        <v>2</v>
      </c>
      <c r="M34" s="12" t="s">
        <v>31</v>
      </c>
      <c r="N34" s="13">
        <f ca="1">IF(ISNUMBER(INDIRECT("P" &amp; ROW())), INDIRECT("P" &amp; ROW())*0.4, " ")</f>
        <v>8.4</v>
      </c>
      <c r="O34" s="13">
        <f ca="1">IF(ISNUMBER(INDIRECT("P" &amp; ROW())), INDIRECT("P" &amp; ROW())*0.6, " ")</f>
        <v>12.6</v>
      </c>
      <c r="P34" s="13">
        <f ca="1">IF(INDIRECT("J" &amp; ROW())="текущие цены", 0, 21)</f>
        <v>21</v>
      </c>
      <c r="Q34" s="6"/>
      <c r="R34" s="6"/>
      <c r="S34" s="6"/>
      <c r="T34" s="6"/>
      <c r="U34" s="6"/>
    </row>
    <row r="35" spans="1:21" ht="27.95" customHeight="1" x14ac:dyDescent="0.2">
      <c r="A35" s="60" t="s">
        <v>35</v>
      </c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"/>
      <c r="R35" s="6"/>
      <c r="S35" s="6"/>
      <c r="T35" s="6"/>
      <c r="U35" s="6"/>
    </row>
    <row r="36" spans="1:21" ht="27.95" customHeight="1" x14ac:dyDescent="0.2">
      <c r="A36" s="9">
        <v>7</v>
      </c>
      <c r="B36" s="10" t="s">
        <v>24</v>
      </c>
      <c r="C36" s="10" t="s">
        <v>25</v>
      </c>
      <c r="D36" s="11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90000 * 0,072*0,05*0,4*1,1</v>
      </c>
      <c r="E36" s="12">
        <f>IF( 1 = "","0",1)</f>
        <v>1</v>
      </c>
      <c r="F36" s="12" t="str">
        <f ca="1">IF(INDIRECT("J" &amp; ROW())="текущие цены", IF(INDIRECT("G" &amp; ROW())="", "0", "0"), IF(INDIRECT("G" &amp; ROW())="", "142.56","90000"))</f>
        <v>90000</v>
      </c>
      <c r="G36" s="12" t="s">
        <v>36</v>
      </c>
      <c r="H36" s="12"/>
      <c r="I36" s="12"/>
      <c r="J36" s="12" t="s">
        <v>16</v>
      </c>
      <c r="K36" s="35" t="s">
        <v>37</v>
      </c>
      <c r="L36" s="12">
        <v>2</v>
      </c>
      <c r="M36" s="12" t="s">
        <v>28</v>
      </c>
      <c r="N36" s="13">
        <f ca="1">IF(ISNUMBER(INDIRECT("P" &amp; ROW())), INDIRECT("P" &amp; ROW())*0.4, " ")</f>
        <v>57.2</v>
      </c>
      <c r="O36" s="13">
        <f ca="1">IF(ISNUMBER(INDIRECT("P" &amp; ROW())), INDIRECT("P" &amp; ROW())*0.6, " ")</f>
        <v>85.8</v>
      </c>
      <c r="P36" s="13">
        <f ca="1">IF(INDIRECT("J" &amp; ROW())="текущие цены", 0, 143)</f>
        <v>143</v>
      </c>
      <c r="Q36" s="6"/>
      <c r="R36" s="6"/>
      <c r="S36" s="6"/>
      <c r="T36" s="6"/>
      <c r="U36" s="6"/>
    </row>
    <row r="37" spans="1:21" ht="127.5" x14ac:dyDescent="0.2">
      <c r="A37" s="14">
        <v>8</v>
      </c>
      <c r="B37" s="15" t="s">
        <v>24</v>
      </c>
      <c r="C37" s="15" t="s">
        <v>29</v>
      </c>
      <c r="D37" s="16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2075 * 10 * 0,072*0,05*0,4*1,1</v>
      </c>
      <c r="E37" s="17">
        <f>IF( 2075 = "","0",2075)</f>
        <v>2075</v>
      </c>
      <c r="F37" s="17" t="str">
        <f ca="1">IF(INDIRECT("J" &amp; ROW())="текущие цены", IF(INDIRECT("G" &amp; ROW())="", "0", "0"), IF(INDIRECT("G" &amp; ROW())="", "0.02","10"))</f>
        <v>10</v>
      </c>
      <c r="G37" s="17" t="s">
        <v>36</v>
      </c>
      <c r="H37" s="17"/>
      <c r="I37" s="17"/>
      <c r="J37" s="17" t="s">
        <v>16</v>
      </c>
      <c r="K37" s="34" t="s">
        <v>38</v>
      </c>
      <c r="L37" s="17">
        <v>2</v>
      </c>
      <c r="M37" s="17" t="s">
        <v>31</v>
      </c>
      <c r="N37" s="18">
        <f ca="1">IF(ISNUMBER(INDIRECT("P" &amp; ROW())), INDIRECT("P" &amp; ROW())*0.4, " ")</f>
        <v>16.8</v>
      </c>
      <c r="O37" s="18">
        <f ca="1">IF(ISNUMBER(INDIRECT("P" &amp; ROW())), INDIRECT("P" &amp; ROW())*0.6, " ")</f>
        <v>25.2</v>
      </c>
      <c r="P37" s="18">
        <f ca="1">IF(INDIRECT("J" &amp; ROW())="текущие цены", 0, 42)</f>
        <v>42</v>
      </c>
      <c r="Q37" s="6"/>
      <c r="R37" s="6"/>
      <c r="S37" s="6"/>
      <c r="T37" s="6"/>
      <c r="U37" s="6"/>
    </row>
    <row r="38" spans="1:21" x14ac:dyDescent="0.2">
      <c r="A38" s="69" t="s">
        <v>39</v>
      </c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19">
        <f t="shared" ref="N38:N47" ca="1" si="0">IF(ISNUMBER(INDIRECT("P" &amp; ROW())), INDIRECT("P" &amp; ROW()) * 0.4, " ")</f>
        <v>6013.2000000000007</v>
      </c>
      <c r="O38" s="19">
        <f t="shared" ref="O38:O47" ca="1" si="1">IF(ISNUMBER(INDIRECT("P" &amp; ROW())), INDIRECT("P" &amp; ROW()) * 0.6, " ")</f>
        <v>9019.7999999999993</v>
      </c>
      <c r="P38" s="19">
        <v>15033</v>
      </c>
      <c r="Q38" s="6"/>
      <c r="R38" s="6"/>
      <c r="S38" s="6"/>
      <c r="T38" s="6"/>
      <c r="U38" s="6"/>
    </row>
    <row r="39" spans="1:21" x14ac:dyDescent="0.2">
      <c r="A39" s="54" t="s">
        <v>40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20">
        <f t="shared" ca="1" si="0"/>
        <v>1571.2</v>
      </c>
      <c r="O39" s="20">
        <f t="shared" ca="1" si="1"/>
        <v>2356.7999999999997</v>
      </c>
      <c r="P39" s="20">
        <v>3928</v>
      </c>
      <c r="Q39" s="6"/>
      <c r="R39" s="6"/>
      <c r="S39" s="6"/>
      <c r="T39" s="6"/>
      <c r="U39" s="6"/>
    </row>
    <row r="40" spans="1:21" x14ac:dyDescent="0.2">
      <c r="A40" s="56" t="s">
        <v>41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21" t="str">
        <f t="shared" ca="1" si="0"/>
        <v xml:space="preserve"> </v>
      </c>
      <c r="O40" s="21" t="str">
        <f t="shared" ca="1" si="1"/>
        <v xml:space="preserve"> </v>
      </c>
      <c r="P40" s="21"/>
      <c r="Q40" s="6"/>
      <c r="R40" s="6"/>
      <c r="S40" s="6"/>
      <c r="T40" s="6"/>
      <c r="U40" s="6"/>
    </row>
    <row r="41" spans="1:21" x14ac:dyDescent="0.2">
      <c r="A41" s="54" t="s">
        <v>42</v>
      </c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20">
        <f t="shared" ca="1" si="0"/>
        <v>1122.4000000000001</v>
      </c>
      <c r="O41" s="20">
        <f t="shared" ca="1" si="1"/>
        <v>1683.6</v>
      </c>
      <c r="P41" s="20">
        <v>2806</v>
      </c>
      <c r="Q41" s="6"/>
      <c r="R41" s="6"/>
      <c r="S41" s="6"/>
      <c r="T41" s="6"/>
      <c r="U41" s="6"/>
    </row>
    <row r="42" spans="1:21" x14ac:dyDescent="0.2">
      <c r="A42" s="54" t="s">
        <v>43</v>
      </c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20">
        <f t="shared" ca="1" si="0"/>
        <v>6013.2000000000007</v>
      </c>
      <c r="O42" s="20">
        <f t="shared" ca="1" si="1"/>
        <v>9019.7999999999993</v>
      </c>
      <c r="P42" s="20">
        <v>15033</v>
      </c>
      <c r="Q42" s="7"/>
      <c r="R42" s="7"/>
      <c r="S42" s="7"/>
      <c r="T42" s="7"/>
      <c r="U42" s="7"/>
    </row>
    <row r="43" spans="1:21" x14ac:dyDescent="0.2">
      <c r="A43" s="54" t="s">
        <v>44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20">
        <f t="shared" ca="1" si="0"/>
        <v>7135.6</v>
      </c>
      <c r="O43" s="20">
        <f t="shared" ca="1" si="1"/>
        <v>10703.4</v>
      </c>
      <c r="P43" s="20">
        <v>17839</v>
      </c>
    </row>
    <row r="44" spans="1:21" x14ac:dyDescent="0.2">
      <c r="A44" s="54" t="s">
        <v>45</v>
      </c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20" t="str">
        <f t="shared" ca="1" si="0"/>
        <v xml:space="preserve"> </v>
      </c>
      <c r="O44" s="20" t="str">
        <f t="shared" ca="1" si="1"/>
        <v xml:space="preserve"> </v>
      </c>
      <c r="P44" s="20"/>
    </row>
    <row r="45" spans="1:21" x14ac:dyDescent="0.2">
      <c r="A45" s="54" t="s">
        <v>46</v>
      </c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20">
        <f t="shared" ca="1" si="0"/>
        <v>8.4</v>
      </c>
      <c r="O45" s="20">
        <f t="shared" ca="1" si="1"/>
        <v>12.6</v>
      </c>
      <c r="P45" s="20">
        <v>21</v>
      </c>
    </row>
    <row r="46" spans="1:21" x14ac:dyDescent="0.2">
      <c r="A46" s="54" t="s">
        <v>47</v>
      </c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20">
        <f t="shared" ca="1" si="0"/>
        <v>1284.4080000000001</v>
      </c>
      <c r="O46" s="20">
        <f t="shared" ca="1" si="1"/>
        <v>1926.6119999999999</v>
      </c>
      <c r="P46" s="20">
        <v>3211.02</v>
      </c>
    </row>
    <row r="47" spans="1:21" x14ac:dyDescent="0.2">
      <c r="A47" s="56" t="s">
        <v>48</v>
      </c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21">
        <f t="shared" ca="1" si="0"/>
        <v>8420.0079999999998</v>
      </c>
      <c r="O47" s="21">
        <f t="shared" ca="1" si="1"/>
        <v>12630.012000000001</v>
      </c>
      <c r="P47" s="21">
        <v>21050.02</v>
      </c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16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ht="12.75" customHeight="1" x14ac:dyDescent="0.2">
      <c r="A50" s="52" t="s">
        <v>67</v>
      </c>
      <c r="B50" s="52"/>
      <c r="C50" s="52"/>
      <c r="D50" s="52"/>
      <c r="E50" s="52"/>
      <c r="F50" s="52"/>
      <c r="G50" s="52"/>
      <c r="H50" s="51"/>
      <c r="I50" s="51"/>
      <c r="J50" s="51"/>
      <c r="K50" s="51"/>
      <c r="L50" s="51"/>
      <c r="M50" s="51"/>
      <c r="N50" s="51"/>
      <c r="O50" s="51"/>
      <c r="P50" s="51"/>
    </row>
    <row r="51" spans="1:16" ht="12.75" customHeight="1" x14ac:dyDescent="0.2">
      <c r="A51" s="50" t="s">
        <v>62</v>
      </c>
      <c r="B51" s="53"/>
      <c r="C51" s="53"/>
      <c r="D51" s="53"/>
      <c r="E51" s="53"/>
      <c r="F51" s="53"/>
      <c r="G51" s="53"/>
      <c r="H51" s="51"/>
      <c r="I51" s="51"/>
      <c r="J51" s="51"/>
      <c r="K51" s="51"/>
      <c r="L51" s="40"/>
      <c r="M51" s="41"/>
      <c r="N51" s="41"/>
      <c r="O51" s="41"/>
      <c r="P51" s="41"/>
    </row>
    <row r="52" spans="1:16" x14ac:dyDescent="0.2">
      <c r="A52" s="45"/>
      <c r="B52" s="42"/>
      <c r="C52" s="46"/>
      <c r="D52" s="45"/>
      <c r="E52" s="43"/>
      <c r="F52" s="43"/>
      <c r="G52" s="44"/>
      <c r="H52" s="40"/>
      <c r="I52" s="40"/>
      <c r="J52" s="40"/>
      <c r="K52" s="40"/>
      <c r="L52" s="40"/>
      <c r="M52" s="41"/>
      <c r="N52" s="41"/>
      <c r="O52" s="41"/>
      <c r="P52" s="41"/>
    </row>
    <row r="53" spans="1:16" ht="12.75" customHeight="1" x14ac:dyDescent="0.2">
      <c r="A53" s="52" t="s">
        <v>68</v>
      </c>
      <c r="B53" s="52"/>
      <c r="C53" s="52"/>
      <c r="D53" s="52"/>
      <c r="E53" s="52"/>
      <c r="F53" s="52"/>
      <c r="G53" s="52"/>
      <c r="H53" s="51"/>
      <c r="I53" s="51"/>
      <c r="J53" s="51"/>
      <c r="K53" s="51"/>
      <c r="L53" s="51"/>
      <c r="M53" s="51"/>
      <c r="N53" s="41"/>
      <c r="O53" s="41"/>
      <c r="P53" s="41"/>
    </row>
    <row r="54" spans="1:16" ht="12.75" customHeight="1" x14ac:dyDescent="0.2">
      <c r="A54" s="50" t="s">
        <v>63</v>
      </c>
      <c r="B54" s="50"/>
      <c r="C54" s="50"/>
      <c r="D54" s="50"/>
      <c r="E54" s="50"/>
      <c r="F54" s="50"/>
      <c r="G54" s="50"/>
      <c r="H54" s="51"/>
      <c r="I54" s="51"/>
      <c r="J54" s="51"/>
      <c r="K54" s="51"/>
      <c r="L54" s="40"/>
      <c r="M54" s="40"/>
      <c r="N54" s="40"/>
      <c r="O54" s="40"/>
      <c r="P54" s="40"/>
    </row>
    <row r="55" spans="1:16" x14ac:dyDescent="0.2">
      <c r="A55" s="71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</row>
  </sheetData>
  <mergeCells count="42">
    <mergeCell ref="A55:P55"/>
    <mergeCell ref="A1:D1"/>
    <mergeCell ref="K2:P2"/>
    <mergeCell ref="K3:P3"/>
    <mergeCell ref="A11:P11"/>
    <mergeCell ref="A10:P10"/>
    <mergeCell ref="A41:M41"/>
    <mergeCell ref="A42:M42"/>
    <mergeCell ref="A43:M43"/>
    <mergeCell ref="A44:M44"/>
    <mergeCell ref="A45:M45"/>
    <mergeCell ref="A20:A21"/>
    <mergeCell ref="B20:B21"/>
    <mergeCell ref="C20:C21"/>
    <mergeCell ref="D20:D21"/>
    <mergeCell ref="A40:M40"/>
    <mergeCell ref="A28:M28"/>
    <mergeCell ref="A29:P29"/>
    <mergeCell ref="A32:P32"/>
    <mergeCell ref="A35:P35"/>
    <mergeCell ref="A38:M38"/>
    <mergeCell ref="A39:M39"/>
    <mergeCell ref="A23:P23"/>
    <mergeCell ref="A24:P24"/>
    <mergeCell ref="A26:P26"/>
    <mergeCell ref="N20:P20"/>
    <mergeCell ref="G13:I13"/>
    <mergeCell ref="J13:K13"/>
    <mergeCell ref="A18:F18"/>
    <mergeCell ref="A14:B14"/>
    <mergeCell ref="A15:B15"/>
    <mergeCell ref="A16:C16"/>
    <mergeCell ref="A17:K17"/>
    <mergeCell ref="E20:E21"/>
    <mergeCell ref="K20:K21"/>
    <mergeCell ref="M20:M21"/>
    <mergeCell ref="A54:K54"/>
    <mergeCell ref="A50:P50"/>
    <mergeCell ref="A51:K51"/>
    <mergeCell ref="A53:M53"/>
    <mergeCell ref="A46:M46"/>
    <mergeCell ref="A47:M47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 Елена Сергеевна</dc:creator>
  <dc:description>17.05.2010</dc:description>
  <cp:lastModifiedBy>Кульбятская Ольга Николаевна</cp:lastModifiedBy>
  <cp:lastPrinted>2017-01-20T05:23:33Z</cp:lastPrinted>
  <dcterms:created xsi:type="dcterms:W3CDTF">2007-02-21T08:42:24Z</dcterms:created>
  <dcterms:modified xsi:type="dcterms:W3CDTF">2017-01-31T07:22:15Z</dcterms:modified>
</cp:coreProperties>
</file>