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pdc\Общий доступ\Реализация капитального ремонта\2017\Сметы на аукцион\2017-03\"/>
    </mc:Choice>
  </mc:AlternateContent>
  <bookViews>
    <workbookView xWindow="-15" yWindow="5940" windowWidth="15480" windowHeight="5775"/>
  </bookViews>
  <sheets>
    <sheet name="Мои данные" sheetId="1" r:id="rId1"/>
    <sheet name="Вспомогательный" sheetId="2" state="hidden" r:id="rId2"/>
  </sheets>
  <definedNames>
    <definedName name="_xlnm.Print_Titles" localSheetId="0">'Мои данные'!$22:$22</definedName>
    <definedName name="_xlnm.Print_Area" localSheetId="0">'Мои данные'!$A$1:$P$54</definedName>
  </definedNames>
  <calcPr calcId="152511"/>
</workbook>
</file>

<file path=xl/calcChain.xml><?xml version="1.0" encoding="utf-8"?>
<calcChain xmlns="http://schemas.openxmlformats.org/spreadsheetml/2006/main">
  <c r="E29" i="1" l="1"/>
  <c r="E30" i="1"/>
  <c r="E32" i="1"/>
  <c r="E33" i="1"/>
  <c r="E35" i="1"/>
  <c r="E36" i="1"/>
  <c r="E24" i="1"/>
  <c r="E25" i="1"/>
  <c r="A12" i="2"/>
  <c r="N46" i="1"/>
  <c r="O45" i="1"/>
  <c r="F36" i="1"/>
  <c r="O42" i="1"/>
  <c r="N40" i="1"/>
  <c r="O26" i="1"/>
  <c r="O41" i="1"/>
  <c r="P36" i="1"/>
  <c r="N36" i="1"/>
  <c r="F35" i="1"/>
  <c r="N39" i="1"/>
  <c r="P35" i="1"/>
  <c r="P25" i="1"/>
  <c r="O25" i="1" s="1"/>
  <c r="P24" i="1"/>
  <c r="O24" i="1" s="1"/>
  <c r="O47" i="1"/>
  <c r="F30" i="1"/>
  <c r="N42" i="1"/>
  <c r="F24" i="1"/>
  <c r="P33" i="1"/>
  <c r="N33" i="1" s="1"/>
  <c r="F29" i="1"/>
  <c r="P29" i="1"/>
  <c r="N27" i="1"/>
  <c r="P30" i="1"/>
  <c r="N43" i="1"/>
  <c r="O27" i="1"/>
  <c r="P32" i="1"/>
  <c r="O33" i="1"/>
  <c r="N25" i="1"/>
  <c r="N24" i="1"/>
  <c r="N30" i="1"/>
  <c r="D35" i="1"/>
  <c r="N26" i="1"/>
  <c r="N47" i="1"/>
  <c r="O46" i="1"/>
  <c r="O32" i="1"/>
  <c r="N37" i="1"/>
  <c r="F25" i="1"/>
  <c r="D25" i="1" s="1"/>
  <c r="O39" i="1"/>
  <c r="N41" i="1"/>
  <c r="F32" i="1"/>
  <c r="O44" i="1"/>
  <c r="O38" i="1"/>
  <c r="N44" i="1"/>
  <c r="D30" i="1"/>
  <c r="N45" i="1"/>
  <c r="F33" i="1"/>
  <c r="O30" i="1"/>
  <c r="O43" i="1"/>
  <c r="N32" i="1"/>
  <c r="D29" i="1"/>
  <c r="O40" i="1"/>
  <c r="N38" i="1"/>
  <c r="D24" i="1"/>
  <c r="O36" i="1"/>
  <c r="D33" i="1"/>
  <c r="O37" i="1"/>
  <c r="O35" i="1"/>
  <c r="N29" i="1"/>
  <c r="O29" i="1"/>
  <c r="N35" i="1"/>
  <c r="D36" i="1"/>
  <c r="D32" i="1"/>
</calcChain>
</file>

<file path=xl/comments1.xml><?xml version="1.0" encoding="utf-8"?>
<comments xmlns="http://schemas.openxmlformats.org/spreadsheetml/2006/main">
  <authors>
    <author>Сергей</author>
    <author>Alex</author>
    <author>Alex Sosedko</author>
    <author>YuKazaeva</author>
  </authors>
  <commentList>
    <comment ref="A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A9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расчета&gt;</t>
        </r>
      </text>
    </comment>
    <comment ref="A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стройки&gt;, &lt;Наименование объекта&gt;, &lt;Наименование локальной сметы&gt;</t>
        </r>
      </text>
    </comment>
    <comment ref="A15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&lt;Подрядчик&gt;</t>
        </r>
      </text>
    </comment>
    <comment ref="A18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&lt;Заказчик&gt;</t>
        </r>
      </text>
    </comment>
    <comment ref="A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22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=IF(&lt;Пустой идентификатор&gt;&lt;Количество всего (физ. объем) по позиции&gt; = "","0",&lt;Количество всего (физ. объем) по позиции&gt;)</t>
        </r>
      </text>
    </comment>
    <comment ref="F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22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22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раздела&gt;</t>
        </r>
      </text>
    </comment>
    <comment ref="M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&lt;Ед. измерения по расценке&gt;</t>
        </r>
      </text>
    </comment>
    <comment ref="N2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ROW())*0.4, " ")&lt;Пустой идентификатор&gt; </t>
        </r>
      </text>
    </comment>
    <comment ref="O2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ROW())*0.6, " ")&lt;Пустой идентификатор&gt; </t>
        </r>
      </text>
    </comment>
    <comment ref="P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ценах&gt;, &lt;ИТОГО ПЗ по позиции для БИМ&gt;) 
</t>
        </r>
      </text>
    </comment>
    <comment ref="A39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N39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0.4, " ")&lt;Пустой идентификатор&gt;</t>
        </r>
      </text>
    </comment>
    <comment ref="O39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0.6, " ")&lt;Пустой идентификатор&gt;</t>
        </r>
      </text>
    </comment>
    <comment ref="P39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(итоги)&gt;</t>
        </r>
      </text>
    </comment>
    <comment ref="A50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&lt;подпись 360 значение&gt;</t>
        </r>
      </text>
    </comment>
    <comment ref="A5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&lt;Составил&gt;</t>
        </r>
      </text>
    </comment>
    <comment ref="A55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&lt;Комментарии к смете&gt;</t>
        </r>
      </text>
    </comment>
  </commentList>
</comments>
</file>

<file path=xl/sharedStrings.xml><?xml version="1.0" encoding="utf-8"?>
<sst xmlns="http://schemas.openxmlformats.org/spreadsheetml/2006/main" count="99" uniqueCount="70">
  <si>
    <t>№ пп</t>
  </si>
  <si>
    <t>на проектные (изыскательские)  работы</t>
  </si>
  <si>
    <t xml:space="preserve">СМЕТА № </t>
  </si>
  <si>
    <t>Характеристика предприятия,
здания, сооружения или вид работ</t>
  </si>
  <si>
    <t>Номер частей, глав, таблиц,
параграфов и пунктов указаний к
разделу справочника базовых цен
на проектные и изыскательские
работы для строителей</t>
  </si>
  <si>
    <t>Форма 2п</t>
  </si>
  <si>
    <t>Расчет стоимости: (a+bx)*Kj или
(стоимость
строительно-монтажных
работ)*проц./ 100 или количество * цена, руб.</t>
  </si>
  <si>
    <t>Стоимость работ, руб.</t>
  </si>
  <si>
    <t>Раздел 1. Обмерные работы и обследовательские работы</t>
  </si>
  <si>
    <t>Обмерные работы для многоэтажных зданий I категории сложности, категория сложности работ 2, высота здания до 14 м</t>
  </si>
  <si>
    <t>СБЦ99-2-1-2-9
"Обмерные работы и обследования зданий (1998г.)"</t>
  </si>
  <si>
    <t>1,1*0,75*0,3311</t>
  </si>
  <si>
    <t>32562 / 100</t>
  </si>
  <si>
    <t>цены 2001</t>
  </si>
  <si>
    <t>(11 Сейсмичность 7 баллов ПЗ=1,1;
2.11 При выполнении работ с использованием и сверкой имеющихся чертежей и выдачей скорректированных чертежей заказчику ПЗ=0,75;
СБЦ 21,34%- поперечные и продольные разрезы с узлами сопряжений конструкций ; 10,59%-крыши; 1,18%-планы кровли со вскрытиями (табл.8 п. 4, п. 12, п. 13) ПЗ=0,3311)</t>
  </si>
  <si>
    <t>100 м3 строительного объема здания</t>
  </si>
  <si>
    <t>Инженерные обследования строительных конструкций многоэтажных зданий I категории сложности, категория сложности работ 2, высота здания до 14 м</t>
  </si>
  <si>
    <t>СБЦ99-4-1-2-9
"Обмерные работы и обследования зданий (1998г.)"</t>
  </si>
  <si>
    <t>1,1*0,75*0,206</t>
  </si>
  <si>
    <t>(11 Сейсмичность 7 баллов ПЗ=1,1;
2.11 При выполнении работ с использованием и сверкой имеющихся чертежей и выдачей скорректированных чертежей заказчику ПЗ=0,75;
СБЦ 17,20%-совмещенные покрытия или крыши; 3,4%-кровля (таблица 9, п. 9, п. 10) ПЗ=0,206 (ОЗП=0,206; ЭМ=0,206 к расх.; ЗПМ=0,206; МАТ=0,206 к расх.; ТЗ=0,206; ТЗМ=0,206))</t>
  </si>
  <si>
    <t>Итого прямые затраты по разделу в ценах 2001г.</t>
  </si>
  <si>
    <t>Итого по разделу 1 Обмерные работы и обследовательские работы</t>
  </si>
  <si>
    <t>Раздел 2. Проектные работы</t>
  </si>
  <si>
    <t>Жилые дома: пятиэтажные</t>
  </si>
  <si>
    <t>СБЦП05-1-1-5-А
/Таблица: СБЦП05-1-1-5 параметр: А/ "Кап. ремонт зданий и сооружений жилищно-гражд. назн. (2012 г.)"</t>
  </si>
  <si>
    <t>1,1*0,072*0,6</t>
  </si>
  <si>
    <t>(Таб.11 п.4 Сейсмичность 7 баллов ПЗ=1,1;
Таб.12 п.6, п. 7 Ремонт, усиление, частичная замена конструкций крыши (при совмещении на объекте покрытия с крышей,               проценты в столбцах 3, 4, 5, 6 добавляются к работам пункта 5;   настоящей таблицы): здания бескаркасные многоэтажные - 5,1%; 2,1%-ремонт (замена) крови и ограждающих конструкций ПЗ=0,072;
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ПЗ=0,6)</t>
  </si>
  <si>
    <t>объект</t>
  </si>
  <si>
    <t>СБЦП05-1-1-5-Б
/Таблица: СБЦП05-1-1-5 параметр: Б/ "Кап. ремонт зданий и сооружений жилищно-гражд. назн. (2012 г.)"</t>
  </si>
  <si>
    <t>м3</t>
  </si>
  <si>
    <t>ПОС</t>
  </si>
  <si>
    <t>1,1*0,072*0,6*0,04</t>
  </si>
  <si>
    <t>(Таб.11 п.4 Сейсмичность 7 баллов ПЗ=1,1;
Таб.12 п.6, п. 7 Ремонт, усиление, частичная замена конструкций крыши (при совмещении на объекте покрытия с крышей,               проценты в столбцах 3, 4, 5, 6 добавляются к работам пункта 5;   настоящей таблицы): здания бескаркасные многоэтажные - 5,1%; 2,1%-ремонт (замена) крови и ограждающих конструкций ПЗ=0,072;
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ПЗ=0,6;
Таб.12 п.18 Проект организации строительства (ПОС): здания бескаркасные многоэтажные - 4,0% ПЗ=0,04)</t>
  </si>
  <si>
    <t>Сметная документация</t>
  </si>
  <si>
    <t>1,1*0,072*0,6*0,05</t>
  </si>
  <si>
    <t>(Таб.11 п.4 Сейсмичность 7 баллов ПЗ=1,1;
Таб.12 п.6, п. 7 Ремонт, усиление, частичная замена конструкций крыши (при совмещении на объекте покрытия с крышей,               проценты в столбцах 3, 4, 5, 6 добавляются к работам пункта 5;   настоящей таблицы): здания бескаркасные многоэтажные - 5,1%; 2,1%-ремонт (замена) крови и ограждающих конструкций ПЗ=0,072;
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ПЗ=0,6;
Таб.12 п.19 Сметная документация: здания бескаркасные многоэтажные - 5,0% ПЗ=0,05)</t>
  </si>
  <si>
    <t>Итого по разделу 2 Проектные работы</t>
  </si>
  <si>
    <t>Итого прямые затраты по смете в ценах 2001г.</t>
  </si>
  <si>
    <t>Итоги по смете:</t>
  </si>
  <si>
    <t xml:space="preserve">  Итого Поз. 2, 4 "Обмерные и инженерное обследование (приложение 3 к письму Минстроя Росси от 03.06.2016 №17269-ХМ/09) СМР=30,17"</t>
  </si>
  <si>
    <t xml:space="preserve">  Итого Поз. 1, 3, 5-8 "Проектные работы (приложение 3 к письму Минстроя Росси от 03.06.2016 №17269-ХМ/09) СМР=3,92"</t>
  </si>
  <si>
    <t xml:space="preserve">  Итого</t>
  </si>
  <si>
    <t xml:space="preserve">    Справочно, в ценах 2001г.:</t>
  </si>
  <si>
    <t xml:space="preserve">      Машины и механизмы</t>
  </si>
  <si>
    <t xml:space="preserve">  НДС 18%</t>
  </si>
  <si>
    <t xml:space="preserve">  ВСЕГО по смете</t>
  </si>
  <si>
    <t>Объемы</t>
  </si>
  <si>
    <t>Обоснование</t>
  </si>
  <si>
    <t>Единица измерения</t>
  </si>
  <si>
    <t xml:space="preserve">                                                                     УТВЕРЖДЕНО:</t>
  </si>
  <si>
    <t>Руководитель НО "Хабаровский краевой фонд</t>
  </si>
  <si>
    <t xml:space="preserve"> капитального ремонта" </t>
  </si>
  <si>
    <t>Директор_____________А.В.Сидорова</t>
  </si>
  <si>
    <t>" _____ " ________________ 2016 г.</t>
  </si>
  <si>
    <t>Наименование организации заказчика      НО "Хабаровский краевой фонд капитального ремонта"</t>
  </si>
  <si>
    <t xml:space="preserve">                                     УТВЕРЖДЕНО:</t>
  </si>
  <si>
    <t>Год постройки      1984</t>
  </si>
  <si>
    <t>Объем здания, м3               32562</t>
  </si>
  <si>
    <t>Здание жилое                      5  этажей       8 подъездов</t>
  </si>
  <si>
    <t>1</t>
  </si>
  <si>
    <t>2</t>
  </si>
  <si>
    <t>3</t>
  </si>
  <si>
    <t>4</t>
  </si>
  <si>
    <t xml:space="preserve">                (должность, подпись, расшифровка)</t>
  </si>
  <si>
    <t xml:space="preserve">           (должность, подпись, расшифровка)</t>
  </si>
  <si>
    <t>Наименование  объекта  5-ти этажного жилой дом по адресу: Хабаровский край, п. Солнечный, ул. Ленина, д. 28</t>
  </si>
  <si>
    <t xml:space="preserve">                                                                                п. Солнечный, ул. Ленина, д. 28</t>
  </si>
  <si>
    <t>Составил: главный специалист СО НО "Хабаровский краевой фонд капитального ремонта" ________/Е. Ю. Корниенко</t>
  </si>
  <si>
    <r>
      <t xml:space="preserve">                                           Проверил : _</t>
    </r>
    <r>
      <rPr>
        <u/>
        <sz val="10"/>
        <rFont val="Arial"/>
        <family val="2"/>
        <charset val="204"/>
      </rPr>
      <t>НачальникСО НО "Хабаровский краевой фонд капитального ремонта"</t>
    </r>
    <r>
      <rPr>
        <sz val="10"/>
        <rFont val="Arial"/>
        <family val="2"/>
        <charset val="204"/>
      </rPr>
      <t>_______________/ _________Е.С. Сорокина</t>
    </r>
  </si>
  <si>
    <t xml:space="preserve">Вид проектных или изыскательских работ:   На разработку проектной документации на переустройство невентилируемой крыши на вентилируемую крышу  по адресу: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</si>
</sst>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 Cyr"/>
      <charset val="204"/>
    </font>
    <font>
      <b/>
      <sz val="11"/>
      <name val="Arial"/>
      <family val="2"/>
      <charset val="204"/>
    </font>
    <font>
      <b/>
      <sz val="11"/>
      <name val="Arial Cyr"/>
      <charset val="204"/>
    </font>
    <font>
      <i/>
      <sz val="10"/>
      <name val="Arial Cyr"/>
      <charset val="204"/>
    </font>
    <font>
      <u/>
      <sz val="10"/>
      <name val="Arial"/>
      <family val="2"/>
      <charset val="204"/>
    </font>
    <font>
      <sz val="8"/>
      <color rgb="FF000000"/>
      <name val="Arial Cy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4">
    <xf numFmtId="0" fontId="0" fillId="0" borderId="0"/>
    <xf numFmtId="0" fontId="5" fillId="0" borderId="1">
      <alignment horizontal="center"/>
    </xf>
    <xf numFmtId="0" fontId="1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5" fillId="0" borderId="0">
      <alignment horizontal="right" vertical="top" wrapText="1"/>
    </xf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1">
      <alignment horizontal="center" wrapText="1"/>
    </xf>
    <xf numFmtId="0" fontId="1" fillId="0" borderId="0"/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</cellStyleXfs>
  <cellXfs count="71">
    <xf numFmtId="0" fontId="0" fillId="0" borderId="0" xfId="0"/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vertical="top"/>
    </xf>
    <xf numFmtId="0" fontId="7" fillId="0" borderId="0" xfId="21" applyFont="1" applyBorder="1">
      <alignment horizontal="center"/>
    </xf>
    <xf numFmtId="0" fontId="7" fillId="0" borderId="0" xfId="21" applyFont="1" applyBorder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6" fillId="0" borderId="0" xfId="0" applyFont="1" applyAlignment="1">
      <alignment wrapText="1"/>
    </xf>
    <xf numFmtId="0" fontId="7" fillId="0" borderId="3" xfId="12" applyFont="1" applyBorder="1">
      <alignment horizont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10" fontId="7" fillId="0" borderId="1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2" fontId="7" fillId="0" borderId="1" xfId="0" applyNumberFormat="1" applyFont="1" applyBorder="1" applyAlignment="1">
      <alignment horizontal="right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top" wrapText="1"/>
    </xf>
    <xf numFmtId="10" fontId="7" fillId="0" borderId="3" xfId="0" applyNumberFormat="1" applyFont="1" applyBorder="1" applyAlignment="1">
      <alignment horizontal="center" vertical="top" wrapText="1"/>
    </xf>
    <xf numFmtId="0" fontId="7" fillId="0" borderId="3" xfId="0" applyNumberFormat="1" applyFont="1" applyBorder="1" applyAlignment="1">
      <alignment horizontal="center" vertical="top" wrapText="1"/>
    </xf>
    <xf numFmtId="2" fontId="7" fillId="0" borderId="3" xfId="0" applyNumberFormat="1" applyFont="1" applyBorder="1" applyAlignment="1">
      <alignment horizontal="right" vertical="top" wrapText="1"/>
    </xf>
    <xf numFmtId="2" fontId="8" fillId="0" borderId="3" xfId="0" applyNumberFormat="1" applyFont="1" applyBorder="1" applyAlignment="1">
      <alignment horizontal="right" vertical="top" wrapText="1"/>
    </xf>
    <xf numFmtId="2" fontId="7" fillId="0" borderId="1" xfId="5" applyNumberFormat="1" applyFont="1" applyBorder="1" applyAlignment="1">
      <alignment horizontal="right" vertical="top" wrapText="1"/>
    </xf>
    <xf numFmtId="2" fontId="8" fillId="0" borderId="1" xfId="5" applyNumberFormat="1" applyFont="1" applyBorder="1" applyAlignment="1">
      <alignment horizontal="right" vertical="top" wrapText="1"/>
    </xf>
    <xf numFmtId="0" fontId="8" fillId="0" borderId="0" xfId="0" applyFont="1" applyAlignment="1">
      <alignment horizontal="left" vertical="top"/>
    </xf>
    <xf numFmtId="49" fontId="8" fillId="0" borderId="0" xfId="0" applyNumberFormat="1" applyFont="1" applyAlignment="1">
      <alignment horizontal="left" vertical="top"/>
    </xf>
    <xf numFmtId="0" fontId="7" fillId="0" borderId="0" xfId="0" applyFont="1" applyAlignment="1">
      <alignment horizontal="right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left"/>
    </xf>
    <xf numFmtId="0" fontId="7" fillId="0" borderId="0" xfId="0" applyFont="1" applyAlignment="1"/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49" fontId="7" fillId="0" borderId="0" xfId="0" applyNumberFormat="1" applyFont="1" applyAlignment="1">
      <alignment horizontal="left" vertical="top" wrapText="1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/>
    </xf>
    <xf numFmtId="0" fontId="7" fillId="0" borderId="0" xfId="0" applyFont="1" applyAlignment="1">
      <alignment horizontal="left" vertical="top"/>
    </xf>
    <xf numFmtId="0" fontId="9" fillId="0" borderId="0" xfId="21" applyFont="1" applyBorder="1" applyAlignment="1">
      <alignment horizontal="left" vertical="top" wrapText="1"/>
    </xf>
    <xf numFmtId="0" fontId="8" fillId="0" borderId="0" xfId="21" applyFont="1">
      <alignment horizontal="center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/>
    <xf numFmtId="0" fontId="0" fillId="0" borderId="0" xfId="0" applyAlignment="1"/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49" fontId="8" fillId="0" borderId="3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horizontal="left" vertical="top"/>
    </xf>
    <xf numFmtId="0" fontId="7" fillId="0" borderId="0" xfId="21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 vertical="top" wrapText="1"/>
    </xf>
    <xf numFmtId="0" fontId="7" fillId="0" borderId="1" xfId="5" applyFont="1" applyBorder="1" applyAlignment="1">
      <alignment horizontal="left" vertical="top" wrapText="1"/>
    </xf>
    <xf numFmtId="0" fontId="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8" fillId="0" borderId="1" xfId="5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49" fontId="9" fillId="0" borderId="1" xfId="0" applyNumberFormat="1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</cellXfs>
  <cellStyles count="24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БазЦ" xfId="9"/>
    <cellStyle name="ИтогоБИМ" xfId="10"/>
    <cellStyle name="ИтогоРесМет" xfId="11"/>
    <cellStyle name="ЛокСмета" xfId="12"/>
    <cellStyle name="ЛокСмМТСН" xfId="13"/>
    <cellStyle name="М29" xfId="14"/>
    <cellStyle name="ОбСмета" xfId="15"/>
    <cellStyle name="Обычный" xfId="0" builtinId="0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Титул" xfId="21"/>
    <cellStyle name="Хвост" xfId="22"/>
    <cellStyle name="Экспертиза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53" name="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AA55"/>
  <sheetViews>
    <sheetView showGridLines="0" tabSelected="1" zoomScale="120" zoomScaleNormal="120" workbookViewId="0">
      <selection activeCell="A16" sqref="A16:P16"/>
    </sheetView>
  </sheetViews>
  <sheetFormatPr defaultRowHeight="12.75" x14ac:dyDescent="0.2"/>
  <cols>
    <col min="1" max="1" width="5.7109375" style="1" customWidth="1"/>
    <col min="2" max="3" width="29.42578125" style="1" customWidth="1"/>
    <col min="4" max="4" width="16.85546875" style="1" customWidth="1"/>
    <col min="5" max="6" width="22.140625" style="1" customWidth="1"/>
    <col min="7" max="10" width="22.140625" style="1" hidden="1" customWidth="1"/>
    <col min="11" max="11" width="73.7109375" style="1" hidden="1" customWidth="1"/>
    <col min="12" max="12" width="15" style="1" hidden="1" customWidth="1"/>
    <col min="13" max="13" width="15" style="1" customWidth="1"/>
    <col min="14" max="15" width="10.85546875" style="1" hidden="1" customWidth="1"/>
    <col min="16" max="16" width="13.140625" style="1" customWidth="1"/>
    <col min="17" max="18" width="9.140625" style="1" customWidth="1"/>
    <col min="19" max="26" width="9.140625" style="1"/>
    <col min="27" max="27" width="79.28515625" style="10" customWidth="1"/>
    <col min="28" max="16384" width="9.140625" style="1"/>
  </cols>
  <sheetData>
    <row r="1" spans="1:27" s="2" customFormat="1" x14ac:dyDescent="0.2">
      <c r="A1" s="25"/>
      <c r="B1" s="26"/>
      <c r="G1" s="27" t="s">
        <v>5</v>
      </c>
      <c r="K1" s="54" t="s">
        <v>49</v>
      </c>
      <c r="L1" s="41"/>
      <c r="M1" s="41"/>
      <c r="N1" s="41"/>
      <c r="O1" s="41"/>
      <c r="P1" s="41"/>
      <c r="AA1" s="28"/>
    </row>
    <row r="2" spans="1:27" s="2" customFormat="1" x14ac:dyDescent="0.2">
      <c r="A2" s="29"/>
      <c r="F2" s="25" t="s">
        <v>55</v>
      </c>
      <c r="L2" s="3"/>
      <c r="M2" s="31"/>
      <c r="N2" s="31"/>
      <c r="O2" s="31"/>
      <c r="P2" s="31"/>
      <c r="Q2" s="31"/>
      <c r="AA2" s="28"/>
    </row>
    <row r="3" spans="1:27" s="2" customFormat="1" x14ac:dyDescent="0.2">
      <c r="A3" s="29"/>
      <c r="F3" s="37" t="s">
        <v>50</v>
      </c>
      <c r="L3" s="3"/>
      <c r="M3" s="31"/>
      <c r="N3" s="31"/>
      <c r="O3" s="31"/>
      <c r="P3" s="31"/>
      <c r="Q3" s="31"/>
      <c r="AA3" s="28"/>
    </row>
    <row r="4" spans="1:27" s="2" customFormat="1" x14ac:dyDescent="0.2">
      <c r="A4" s="29"/>
      <c r="D4" s="25"/>
      <c r="F4" s="37" t="s">
        <v>51</v>
      </c>
      <c r="AA4" s="28"/>
    </row>
    <row r="5" spans="1:27" s="2" customFormat="1" x14ac:dyDescent="0.2">
      <c r="A5" s="29"/>
      <c r="D5" s="3"/>
      <c r="F5" s="37"/>
      <c r="AA5" s="28"/>
    </row>
    <row r="6" spans="1:27" s="2" customFormat="1" x14ac:dyDescent="0.2">
      <c r="A6" s="29"/>
      <c r="D6" s="3"/>
      <c r="F6" s="37" t="s">
        <v>52</v>
      </c>
      <c r="AA6" s="28"/>
    </row>
    <row r="7" spans="1:27" s="2" customFormat="1" x14ac:dyDescent="0.2">
      <c r="A7" s="29"/>
      <c r="D7" s="29"/>
      <c r="F7" s="37"/>
      <c r="AA7" s="28"/>
    </row>
    <row r="8" spans="1:27" s="2" customFormat="1" x14ac:dyDescent="0.2">
      <c r="A8" s="55"/>
      <c r="B8" s="55"/>
      <c r="C8" s="55"/>
      <c r="D8" s="55"/>
      <c r="F8" s="37" t="s">
        <v>53</v>
      </c>
      <c r="AA8" s="28"/>
    </row>
    <row r="9" spans="1:27" s="2" customFormat="1" x14ac:dyDescent="0.2">
      <c r="A9" s="39" t="s">
        <v>2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AA9" s="28"/>
    </row>
    <row r="10" spans="1:27" s="2" customFormat="1" x14ac:dyDescent="0.2">
      <c r="A10" s="56" t="s">
        <v>1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AA10" s="28"/>
    </row>
    <row r="11" spans="1:27" s="2" customFormat="1" x14ac:dyDescent="0.2">
      <c r="AA11" s="28"/>
    </row>
    <row r="12" spans="1:27" s="2" customFormat="1" x14ac:dyDescent="0.2">
      <c r="A12" s="57" t="s">
        <v>65</v>
      </c>
      <c r="B12" s="57"/>
      <c r="C12" s="57"/>
      <c r="D12" s="57"/>
      <c r="E12" s="57"/>
      <c r="F12" s="57"/>
      <c r="G12" s="57"/>
      <c r="H12" s="57"/>
      <c r="I12" s="57"/>
      <c r="R12" s="28"/>
      <c r="AA12" s="28"/>
    </row>
    <row r="13" spans="1:27" s="2" customFormat="1" x14ac:dyDescent="0.2">
      <c r="A13" s="53" t="s">
        <v>56</v>
      </c>
      <c r="B13" s="53"/>
      <c r="C13" s="28"/>
      <c r="D13" s="30"/>
      <c r="R13" s="28"/>
      <c r="AA13" s="28"/>
    </row>
    <row r="14" spans="1:27" s="2" customFormat="1" x14ac:dyDescent="0.2">
      <c r="A14" s="41" t="s">
        <v>57</v>
      </c>
      <c r="B14" s="41"/>
      <c r="C14" s="28"/>
      <c r="D14" s="30"/>
      <c r="R14" s="28"/>
      <c r="AA14" s="28"/>
    </row>
    <row r="15" spans="1:27" s="2" customFormat="1" x14ac:dyDescent="0.2">
      <c r="A15" s="41" t="s">
        <v>58</v>
      </c>
      <c r="B15" s="41"/>
      <c r="C15" s="41"/>
      <c r="D15" s="31"/>
      <c r="R15" s="28"/>
      <c r="AA15" s="28"/>
    </row>
    <row r="16" spans="1:27" s="2" customFormat="1" x14ac:dyDescent="0.2">
      <c r="A16" s="57" t="s">
        <v>69</v>
      </c>
      <c r="B16" s="57"/>
      <c r="C16" s="57"/>
      <c r="D16" s="57"/>
      <c r="E16" s="57"/>
      <c r="F16" s="57"/>
      <c r="G16" s="41"/>
      <c r="H16" s="41"/>
      <c r="I16" s="41"/>
      <c r="J16" s="41"/>
      <c r="K16" s="41"/>
      <c r="L16" s="42"/>
      <c r="M16" s="42"/>
      <c r="N16" s="42"/>
      <c r="O16" s="42"/>
      <c r="P16" s="42"/>
      <c r="R16" s="28"/>
      <c r="AA16" s="28"/>
    </row>
    <row r="17" spans="1:27" s="2" customFormat="1" x14ac:dyDescent="0.2">
      <c r="A17" s="67" t="s">
        <v>66</v>
      </c>
      <c r="B17" s="68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R17" s="28"/>
      <c r="AA17" s="28"/>
    </row>
    <row r="18" spans="1:27" s="2" customFormat="1" x14ac:dyDescent="0.2">
      <c r="A18" s="57" t="s">
        <v>54</v>
      </c>
      <c r="B18" s="57"/>
      <c r="C18" s="57"/>
      <c r="D18" s="57"/>
      <c r="E18" s="57"/>
      <c r="F18" s="57"/>
      <c r="R18" s="28"/>
      <c r="AA18" s="28"/>
    </row>
    <row r="19" spans="1:27" x14ac:dyDescent="0.2">
      <c r="A19" s="2"/>
      <c r="B19" s="2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5"/>
    </row>
    <row r="20" spans="1:27" s="7" customFormat="1" ht="16.5" customHeight="1" x14ac:dyDescent="0.2">
      <c r="A20" s="43" t="s">
        <v>0</v>
      </c>
      <c r="B20" s="43" t="s">
        <v>3</v>
      </c>
      <c r="C20" s="43" t="s">
        <v>4</v>
      </c>
      <c r="D20" s="43" t="s">
        <v>6</v>
      </c>
      <c r="E20" s="43" t="s">
        <v>46</v>
      </c>
      <c r="F20" s="43" t="s">
        <v>47</v>
      </c>
      <c r="G20" s="6"/>
      <c r="H20" s="6"/>
      <c r="I20" s="6"/>
      <c r="J20" s="6"/>
      <c r="K20" s="6"/>
      <c r="L20" s="6"/>
      <c r="M20" s="43" t="s">
        <v>48</v>
      </c>
      <c r="N20" s="59" t="s">
        <v>7</v>
      </c>
      <c r="O20" s="60"/>
      <c r="P20" s="61"/>
    </row>
    <row r="21" spans="1:27" s="7" customFormat="1" ht="87.75" customHeight="1" x14ac:dyDescent="0.2">
      <c r="A21" s="44"/>
      <c r="B21" s="44"/>
      <c r="C21" s="44"/>
      <c r="D21" s="44"/>
      <c r="E21" s="44"/>
      <c r="F21" s="44"/>
      <c r="G21" s="6"/>
      <c r="H21" s="6"/>
      <c r="I21" s="6"/>
      <c r="J21" s="6"/>
      <c r="K21" s="6"/>
      <c r="L21" s="6"/>
      <c r="M21" s="44"/>
      <c r="N21" s="62"/>
      <c r="O21" s="63"/>
      <c r="P21" s="64"/>
    </row>
    <row r="22" spans="1:27" x14ac:dyDescent="0.2">
      <c r="A22" s="11">
        <v>1</v>
      </c>
      <c r="B22" s="11">
        <v>2</v>
      </c>
      <c r="C22" s="11">
        <v>3</v>
      </c>
      <c r="D22" s="11">
        <v>4</v>
      </c>
      <c r="E22" s="11">
        <v>5</v>
      </c>
      <c r="F22" s="11">
        <v>6</v>
      </c>
      <c r="G22" s="11"/>
      <c r="H22" s="11"/>
      <c r="I22" s="11"/>
      <c r="J22" s="11"/>
      <c r="K22" s="11"/>
      <c r="L22" s="11"/>
      <c r="M22" s="11">
        <v>7</v>
      </c>
      <c r="N22" s="11">
        <v>5</v>
      </c>
      <c r="O22" s="11">
        <v>6</v>
      </c>
      <c r="P22" s="11">
        <v>8</v>
      </c>
    </row>
    <row r="23" spans="1:27" s="8" customFormat="1" ht="21" customHeight="1" x14ac:dyDescent="0.2">
      <c r="A23" s="45" t="s">
        <v>8</v>
      </c>
      <c r="B23" s="46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</row>
    <row r="24" spans="1:27" s="9" customFormat="1" ht="76.5" x14ac:dyDescent="0.2">
      <c r="A24" s="12" t="s">
        <v>59</v>
      </c>
      <c r="B24" s="13" t="s">
        <v>9</v>
      </c>
      <c r="C24" s="13" t="s">
        <v>10</v>
      </c>
      <c r="D24" s="14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(32562 / 100) * 22.34 * 1,1*0,75*0,3311</v>
      </c>
      <c r="E24" s="15">
        <f>IF( 325.62 = "","0",325.62)</f>
        <v>325.62</v>
      </c>
      <c r="F24" s="15" t="str">
        <f ca="1">IF(INDIRECT("J" &amp; ROW())="текущие цены", IF(INDIRECT("G" &amp; ROW())="", "0", "0"), IF(INDIRECT("G" &amp; ROW())="", "6.1","22.34"))</f>
        <v>22.34</v>
      </c>
      <c r="G24" s="15" t="s">
        <v>11</v>
      </c>
      <c r="H24" s="15" t="s">
        <v>12</v>
      </c>
      <c r="I24" s="15"/>
      <c r="J24" s="15" t="s">
        <v>13</v>
      </c>
      <c r="K24" s="15" t="s">
        <v>14</v>
      </c>
      <c r="L24" s="15">
        <v>1</v>
      </c>
      <c r="M24" s="15" t="s">
        <v>15</v>
      </c>
      <c r="N24" s="16">
        <f ca="1">IF(ISNUMBER(INDIRECT("P" &amp; ROW())), INDIRECT("P" &amp; ROW())*0.4, " ")</f>
        <v>794.40000000000009</v>
      </c>
      <c r="O24" s="16">
        <f ca="1">IF(ISNUMBER(INDIRECT("P" &amp; ROW())), INDIRECT("P" &amp; ROW())*0.6, " ")</f>
        <v>1191.5999999999999</v>
      </c>
      <c r="P24" s="16">
        <f ca="1">IF(INDIRECT("J" &amp; ROW())="текущие цены", 0, 1986)</f>
        <v>1986</v>
      </c>
      <c r="Q24" s="8"/>
      <c r="R24" s="8"/>
      <c r="S24" s="8"/>
      <c r="T24" s="8"/>
      <c r="U24" s="8"/>
      <c r="AA24" s="8"/>
    </row>
    <row r="25" spans="1:27" ht="76.5" x14ac:dyDescent="0.2">
      <c r="A25" s="17" t="s">
        <v>60</v>
      </c>
      <c r="B25" s="18" t="s">
        <v>16</v>
      </c>
      <c r="C25" s="18" t="s">
        <v>17</v>
      </c>
      <c r="D25" s="19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(32562 / 100) * 22.15 * 1,1*0,75*0,206</v>
      </c>
      <c r="E25" s="20">
        <f>IF( 325.62 = "","0",325.62)</f>
        <v>325.62</v>
      </c>
      <c r="F25" s="20" t="str">
        <f ca="1">IF(INDIRECT("J" &amp; ROW())="текущие цены", IF(INDIRECT("G" &amp; ROW())="", "0", "0"), IF(INDIRECT("G" &amp; ROW())="", "3.76","22.15"))</f>
        <v>22.15</v>
      </c>
      <c r="G25" s="20" t="s">
        <v>18</v>
      </c>
      <c r="H25" s="20" t="s">
        <v>12</v>
      </c>
      <c r="I25" s="20"/>
      <c r="J25" s="20" t="s">
        <v>13</v>
      </c>
      <c r="K25" s="20" t="s">
        <v>19</v>
      </c>
      <c r="L25" s="20">
        <v>1</v>
      </c>
      <c r="M25" s="20" t="s">
        <v>15</v>
      </c>
      <c r="N25" s="21">
        <f ca="1">IF(ISNUMBER(INDIRECT("P" &amp; ROW())), INDIRECT("P" &amp; ROW())*0.4, " ")</f>
        <v>489.6</v>
      </c>
      <c r="O25" s="21">
        <f ca="1">IF(ISNUMBER(INDIRECT("P" &amp; ROW())), INDIRECT("P" &amp; ROW())*0.6, " ")</f>
        <v>734.4</v>
      </c>
      <c r="P25" s="21">
        <f ca="1">IF(INDIRECT("J" &amp; ROW())="текущие цены", 0, 1224)</f>
        <v>1224</v>
      </c>
      <c r="Q25" s="8"/>
      <c r="R25" s="8"/>
      <c r="S25" s="8"/>
      <c r="T25" s="8"/>
      <c r="U25" s="8"/>
    </row>
    <row r="26" spans="1:27" x14ac:dyDescent="0.2">
      <c r="A26" s="47" t="s">
        <v>20</v>
      </c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16">
        <f ca="1">IF(ISNUMBER(INDIRECT("P" &amp; ROW())), INDIRECT("P" &amp; ROW()) * 0.4, " ")</f>
        <v>1284</v>
      </c>
      <c r="O26" s="16">
        <f ca="1">IF(ISNUMBER(INDIRECT("P" &amp; ROW())), INDIRECT("P" &amp; ROW()) * 0.6, " ")</f>
        <v>1926</v>
      </c>
      <c r="P26" s="16">
        <v>3210</v>
      </c>
      <c r="Q26" s="8"/>
      <c r="R26" s="8"/>
      <c r="S26" s="8"/>
      <c r="T26" s="8"/>
      <c r="U26" s="8"/>
    </row>
    <row r="27" spans="1:27" ht="27.95" customHeight="1" x14ac:dyDescent="0.2">
      <c r="A27" s="49" t="s">
        <v>21</v>
      </c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22">
        <f ca="1">IF(ISNUMBER(INDIRECT("P" &amp; ROW())), INDIRECT("P" &amp; ROW()) * 0.4, " ")</f>
        <v>38738.400000000001</v>
      </c>
      <c r="O27" s="22">
        <f ca="1">IF(ISNUMBER(INDIRECT("P" &amp; ROW())), INDIRECT("P" &amp; ROW()) * 0.6, " ")</f>
        <v>58107.6</v>
      </c>
      <c r="P27" s="22">
        <v>96846</v>
      </c>
      <c r="Q27" s="8"/>
      <c r="R27" s="8"/>
      <c r="S27" s="8"/>
      <c r="T27" s="8"/>
      <c r="U27" s="8"/>
    </row>
    <row r="28" spans="1:27" ht="21" customHeight="1" x14ac:dyDescent="0.2">
      <c r="A28" s="45" t="s">
        <v>22</v>
      </c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8"/>
      <c r="R28" s="8"/>
      <c r="S28" s="8"/>
      <c r="T28" s="8"/>
      <c r="U28" s="8"/>
    </row>
    <row r="29" spans="1:27" ht="114.75" x14ac:dyDescent="0.2">
      <c r="A29" s="12" t="s">
        <v>61</v>
      </c>
      <c r="B29" s="13" t="s">
        <v>23</v>
      </c>
      <c r="C29" s="13" t="s">
        <v>24</v>
      </c>
      <c r="D29" s="14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275000 * 1,1*0,072*0,6</v>
      </c>
      <c r="E29" s="15">
        <f>IF( 1 = "","0",1)</f>
        <v>1</v>
      </c>
      <c r="F29" s="15" t="str">
        <f ca="1">IF(INDIRECT("J" &amp; ROW())="текущие цены", IF(INDIRECT("G" &amp; ROW())="", "0", "0"), IF(INDIRECT("G" &amp; ROW())="", "13068","275000"))</f>
        <v>275000</v>
      </c>
      <c r="G29" s="15" t="s">
        <v>25</v>
      </c>
      <c r="H29" s="15"/>
      <c r="I29" s="15"/>
      <c r="J29" s="15" t="s">
        <v>13</v>
      </c>
      <c r="K29" s="15" t="s">
        <v>26</v>
      </c>
      <c r="L29" s="15">
        <v>2</v>
      </c>
      <c r="M29" s="15" t="s">
        <v>27</v>
      </c>
      <c r="N29" s="16">
        <f ca="1">IF(ISNUMBER(INDIRECT("P" &amp; ROW())), INDIRECT("P" &amp; ROW())*0.4, " ")</f>
        <v>5227.2000000000007</v>
      </c>
      <c r="O29" s="16">
        <f ca="1">IF(ISNUMBER(INDIRECT("P" &amp; ROW())), INDIRECT("P" &amp; ROW())*0.6, " ")</f>
        <v>7840.7999999999993</v>
      </c>
      <c r="P29" s="16">
        <f ca="1">IF(INDIRECT("J" &amp; ROW())="текущие цены", 0, 13068)</f>
        <v>13068</v>
      </c>
      <c r="Q29" s="8"/>
      <c r="R29" s="8"/>
      <c r="S29" s="8"/>
      <c r="T29" s="8"/>
      <c r="U29" s="8"/>
    </row>
    <row r="30" spans="1:27" ht="114.75" x14ac:dyDescent="0.2">
      <c r="A30" s="12" t="s">
        <v>62</v>
      </c>
      <c r="B30" s="13" t="s">
        <v>23</v>
      </c>
      <c r="C30" s="13" t="s">
        <v>28</v>
      </c>
      <c r="D30" s="14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32562 * 6 * 1,1*0,072*0,6</v>
      </c>
      <c r="E30" s="15">
        <f>IF( 32562 = "","0",32562)</f>
        <v>32562</v>
      </c>
      <c r="F30" s="15" t="str">
        <f ca="1">IF(INDIRECT("J" &amp; ROW())="текущие цены", IF(INDIRECT("G" &amp; ROW())="", "0", "0"), IF(INDIRECT("G" &amp; ROW())="", "0.29","6"))</f>
        <v>6</v>
      </c>
      <c r="G30" s="15" t="s">
        <v>25</v>
      </c>
      <c r="H30" s="15"/>
      <c r="I30" s="15"/>
      <c r="J30" s="15" t="s">
        <v>13</v>
      </c>
      <c r="K30" s="15" t="s">
        <v>26</v>
      </c>
      <c r="L30" s="15">
        <v>2</v>
      </c>
      <c r="M30" s="15" t="s">
        <v>29</v>
      </c>
      <c r="N30" s="16">
        <f ca="1">IF(ISNUMBER(INDIRECT("P" &amp; ROW())), INDIRECT("P" &amp; ROW())*0.4, " ")</f>
        <v>3777.2000000000003</v>
      </c>
      <c r="O30" s="16">
        <f ca="1">IF(ISNUMBER(INDIRECT("P" &amp; ROW())), INDIRECT("P" &amp; ROW())*0.6, " ")</f>
        <v>5665.8</v>
      </c>
      <c r="P30" s="16">
        <f ca="1">IF(INDIRECT("J" &amp; ROW())="текущие цены", 0, 9443)</f>
        <v>9443</v>
      </c>
      <c r="Q30" s="8"/>
      <c r="R30" s="8"/>
      <c r="S30" s="8"/>
      <c r="T30" s="8"/>
      <c r="U30" s="8"/>
    </row>
    <row r="31" spans="1:27" ht="17.850000000000001" customHeight="1" x14ac:dyDescent="0.2">
      <c r="A31" s="69" t="s">
        <v>30</v>
      </c>
      <c r="B31" s="70"/>
      <c r="C31" s="70"/>
      <c r="D31" s="70"/>
      <c r="E31" s="70"/>
      <c r="F31" s="70"/>
      <c r="G31" s="70"/>
      <c r="H31" s="70"/>
      <c r="I31" s="70"/>
      <c r="J31" s="70"/>
      <c r="K31" s="70"/>
      <c r="L31" s="70"/>
      <c r="M31" s="70"/>
      <c r="N31" s="70"/>
      <c r="O31" s="70"/>
      <c r="P31" s="70"/>
      <c r="Q31" s="8"/>
      <c r="R31" s="8"/>
      <c r="S31" s="8"/>
      <c r="T31" s="8"/>
      <c r="U31" s="8"/>
    </row>
    <row r="32" spans="1:27" ht="140.25" x14ac:dyDescent="0.2">
      <c r="A32" s="12">
        <v>5</v>
      </c>
      <c r="B32" s="13" t="s">
        <v>23</v>
      </c>
      <c r="C32" s="13" t="s">
        <v>24</v>
      </c>
      <c r="D32" s="14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275000 * 1,1*0,072*0,6*0,04</v>
      </c>
      <c r="E32" s="15">
        <f>IF( 1 = "","0",1)</f>
        <v>1</v>
      </c>
      <c r="F32" s="15" t="str">
        <f ca="1">IF(INDIRECT("J" &amp; ROW())="текущие цены", IF(INDIRECT("G" &amp; ROW())="", "0", "0"), IF(INDIRECT("G" &amp; ROW())="", "522.72","275000"))</f>
        <v>275000</v>
      </c>
      <c r="G32" s="15" t="s">
        <v>31</v>
      </c>
      <c r="H32" s="15"/>
      <c r="I32" s="15"/>
      <c r="J32" s="15" t="s">
        <v>13</v>
      </c>
      <c r="K32" s="15" t="s">
        <v>32</v>
      </c>
      <c r="L32" s="15">
        <v>2</v>
      </c>
      <c r="M32" s="15" t="s">
        <v>27</v>
      </c>
      <c r="N32" s="16">
        <f ca="1">IF(ISNUMBER(INDIRECT("P" &amp; ROW())), INDIRECT("P" &amp; ROW())*0.4, " ")</f>
        <v>209.20000000000002</v>
      </c>
      <c r="O32" s="16">
        <f ca="1">IF(ISNUMBER(INDIRECT("P" &amp; ROW())), INDIRECT("P" &amp; ROW())*0.6, " ")</f>
        <v>313.8</v>
      </c>
      <c r="P32" s="16">
        <f ca="1">IF(INDIRECT("J" &amp; ROW())="текущие цены", 0, 523)</f>
        <v>523</v>
      </c>
      <c r="Q32" s="8"/>
      <c r="R32" s="8"/>
      <c r="S32" s="8"/>
      <c r="T32" s="8"/>
      <c r="U32" s="8"/>
    </row>
    <row r="33" spans="1:21" ht="140.25" x14ac:dyDescent="0.2">
      <c r="A33" s="12">
        <v>6</v>
      </c>
      <c r="B33" s="13" t="s">
        <v>23</v>
      </c>
      <c r="C33" s="13" t="s">
        <v>28</v>
      </c>
      <c r="D33" s="14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32562 * 6 * 1,1*0,072*0,6*0,04</v>
      </c>
      <c r="E33" s="15">
        <f>IF( 32562 = "","0",32562)</f>
        <v>32562</v>
      </c>
      <c r="F33" s="15" t="str">
        <f ca="1">IF(INDIRECT("J" &amp; ROW())="текущие цены", IF(INDIRECT("G" &amp; ROW())="", "0", "0"), IF(INDIRECT("G" &amp; ROW())="", "0.01","6"))</f>
        <v>6</v>
      </c>
      <c r="G33" s="15" t="s">
        <v>31</v>
      </c>
      <c r="H33" s="15"/>
      <c r="I33" s="15"/>
      <c r="J33" s="15" t="s">
        <v>13</v>
      </c>
      <c r="K33" s="15" t="s">
        <v>32</v>
      </c>
      <c r="L33" s="15">
        <v>2</v>
      </c>
      <c r="M33" s="15" t="s">
        <v>29</v>
      </c>
      <c r="N33" s="16">
        <f ca="1">IF(ISNUMBER(INDIRECT("P" &amp; ROW())), INDIRECT("P" &amp; ROW())*0.4, " ")</f>
        <v>130.4</v>
      </c>
      <c r="O33" s="16">
        <f ca="1">IF(ISNUMBER(INDIRECT("P" &amp; ROW())), INDIRECT("P" &amp; ROW())*0.6, " ")</f>
        <v>195.6</v>
      </c>
      <c r="P33" s="16">
        <f ca="1">IF(INDIRECT("J" &amp; ROW())="текущие цены", 0, 326)</f>
        <v>326</v>
      </c>
      <c r="Q33" s="8"/>
      <c r="R33" s="8"/>
      <c r="S33" s="8"/>
      <c r="T33" s="8"/>
      <c r="U33" s="8"/>
    </row>
    <row r="34" spans="1:21" ht="17.850000000000001" customHeight="1" x14ac:dyDescent="0.2">
      <c r="A34" s="69" t="s">
        <v>33</v>
      </c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8"/>
      <c r="R34" s="8"/>
      <c r="S34" s="8"/>
      <c r="T34" s="8"/>
      <c r="U34" s="8"/>
    </row>
    <row r="35" spans="1:21" ht="140.25" x14ac:dyDescent="0.2">
      <c r="A35" s="12">
        <v>7</v>
      </c>
      <c r="B35" s="13" t="s">
        <v>23</v>
      </c>
      <c r="C35" s="13" t="s">
        <v>24</v>
      </c>
      <c r="D35" s="14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275000 * 1,1*0,072*0,6*0,05</v>
      </c>
      <c r="E35" s="15">
        <f>IF( 1 = "","0",1)</f>
        <v>1</v>
      </c>
      <c r="F35" s="15" t="str">
        <f ca="1">IF(INDIRECT("J" &amp; ROW())="текущие цены", IF(INDIRECT("G" &amp; ROW())="", "0", "0"), IF(INDIRECT("G" &amp; ROW())="", "653.4","275000"))</f>
        <v>275000</v>
      </c>
      <c r="G35" s="15" t="s">
        <v>34</v>
      </c>
      <c r="H35" s="15"/>
      <c r="I35" s="15"/>
      <c r="J35" s="15" t="s">
        <v>13</v>
      </c>
      <c r="K35" s="15" t="s">
        <v>35</v>
      </c>
      <c r="L35" s="15">
        <v>2</v>
      </c>
      <c r="M35" s="15" t="s">
        <v>27</v>
      </c>
      <c r="N35" s="16">
        <f ca="1">IF(ISNUMBER(INDIRECT("P" &amp; ROW())), INDIRECT("P" &amp; ROW())*0.4, " ")</f>
        <v>261.2</v>
      </c>
      <c r="O35" s="16">
        <f ca="1">IF(ISNUMBER(INDIRECT("P" &amp; ROW())), INDIRECT("P" &amp; ROW())*0.6, " ")</f>
        <v>391.8</v>
      </c>
      <c r="P35" s="16">
        <f ca="1">IF(INDIRECT("J" &amp; ROW())="текущие цены", 0, 653)</f>
        <v>653</v>
      </c>
      <c r="Q35" s="8"/>
      <c r="R35" s="8"/>
      <c r="S35" s="8"/>
      <c r="T35" s="8"/>
      <c r="U35" s="8"/>
    </row>
    <row r="36" spans="1:21" ht="140.25" x14ac:dyDescent="0.2">
      <c r="A36" s="17">
        <v>8</v>
      </c>
      <c r="B36" s="18" t="s">
        <v>23</v>
      </c>
      <c r="C36" s="18" t="s">
        <v>28</v>
      </c>
      <c r="D36" s="19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32562 * 6 * 1,1*0,072*0,6*0,05</v>
      </c>
      <c r="E36" s="20">
        <f>IF( 32562 = "","0",32562)</f>
        <v>32562</v>
      </c>
      <c r="F36" s="20" t="str">
        <f ca="1">IF(INDIRECT("J" &amp; ROW())="текущие цены", IF(INDIRECT("G" &amp; ROW())="", "0", "0"), IF(INDIRECT("G" &amp; ROW())="", "0.01","6"))</f>
        <v>6</v>
      </c>
      <c r="G36" s="20" t="s">
        <v>34</v>
      </c>
      <c r="H36" s="20"/>
      <c r="I36" s="20"/>
      <c r="J36" s="20" t="s">
        <v>13</v>
      </c>
      <c r="K36" s="20" t="s">
        <v>35</v>
      </c>
      <c r="L36" s="20">
        <v>2</v>
      </c>
      <c r="M36" s="20" t="s">
        <v>29</v>
      </c>
      <c r="N36" s="21">
        <f ca="1">IF(ISNUMBER(INDIRECT("P" &amp; ROW())), INDIRECT("P" &amp; ROW())*0.4, " ")</f>
        <v>130.4</v>
      </c>
      <c r="O36" s="21">
        <f ca="1">IF(ISNUMBER(INDIRECT("P" &amp; ROW())), INDIRECT("P" &amp; ROW())*0.6, " ")</f>
        <v>195.6</v>
      </c>
      <c r="P36" s="21">
        <f ca="1">IF(INDIRECT("J" &amp; ROW())="текущие цены", 0, 326)</f>
        <v>326</v>
      </c>
      <c r="Q36" s="8"/>
      <c r="R36" s="8"/>
      <c r="S36" s="8"/>
      <c r="T36" s="8"/>
      <c r="U36" s="8"/>
    </row>
    <row r="37" spans="1:21" x14ac:dyDescent="0.2">
      <c r="A37" s="47" t="s">
        <v>20</v>
      </c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16">
        <f t="shared" ref="N37:N47" ca="1" si="0">IF(ISNUMBER(INDIRECT("P" &amp; ROW())), INDIRECT("P" &amp; ROW()) * 0.4, " ")</f>
        <v>9735.6</v>
      </c>
      <c r="O37" s="16">
        <f t="shared" ref="O37:O47" ca="1" si="1">IF(ISNUMBER(INDIRECT("P" &amp; ROW())), INDIRECT("P" &amp; ROW()) * 0.6, " ")</f>
        <v>14603.4</v>
      </c>
      <c r="P37" s="16">
        <v>24339</v>
      </c>
      <c r="Q37" s="8"/>
      <c r="R37" s="8"/>
      <c r="S37" s="8"/>
      <c r="T37" s="8"/>
      <c r="U37" s="8"/>
    </row>
    <row r="38" spans="1:21" x14ac:dyDescent="0.2">
      <c r="A38" s="49" t="s">
        <v>36</v>
      </c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22">
        <f t="shared" ca="1" si="0"/>
        <v>38163.599999999999</v>
      </c>
      <c r="O38" s="22">
        <f t="shared" ca="1" si="1"/>
        <v>57245.4</v>
      </c>
      <c r="P38" s="22">
        <v>95409</v>
      </c>
      <c r="Q38" s="8"/>
      <c r="R38" s="8"/>
      <c r="S38" s="8"/>
      <c r="T38" s="8"/>
      <c r="U38" s="8"/>
    </row>
    <row r="39" spans="1:21" x14ac:dyDescent="0.2">
      <c r="A39" s="58" t="s">
        <v>37</v>
      </c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23">
        <f t="shared" ca="1" si="0"/>
        <v>11019.6</v>
      </c>
      <c r="O39" s="23">
        <f t="shared" ca="1" si="1"/>
        <v>16529.399999999998</v>
      </c>
      <c r="P39" s="23">
        <v>27549</v>
      </c>
      <c r="Q39" s="8"/>
      <c r="R39" s="8"/>
      <c r="S39" s="8"/>
      <c r="T39" s="8"/>
      <c r="U39" s="8"/>
    </row>
    <row r="40" spans="1:21" x14ac:dyDescent="0.2">
      <c r="A40" s="65" t="s">
        <v>38</v>
      </c>
      <c r="B40" s="66"/>
      <c r="C40" s="66"/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24" t="str">
        <f t="shared" ca="1" si="0"/>
        <v xml:space="preserve"> </v>
      </c>
      <c r="O40" s="24" t="str">
        <f t="shared" ca="1" si="1"/>
        <v xml:space="preserve"> </v>
      </c>
      <c r="P40" s="24"/>
      <c r="Q40" s="8"/>
      <c r="R40" s="8"/>
      <c r="S40" s="8"/>
      <c r="T40" s="8"/>
      <c r="U40" s="8"/>
    </row>
    <row r="41" spans="1:21" ht="27.95" customHeight="1" x14ac:dyDescent="0.2">
      <c r="A41" s="58" t="s">
        <v>39</v>
      </c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23">
        <f t="shared" ca="1" si="0"/>
        <v>38738.400000000001</v>
      </c>
      <c r="O41" s="23">
        <f t="shared" ca="1" si="1"/>
        <v>58107.6</v>
      </c>
      <c r="P41" s="23">
        <v>96846</v>
      </c>
      <c r="Q41" s="8"/>
      <c r="R41" s="8"/>
      <c r="S41" s="8"/>
      <c r="T41" s="8"/>
      <c r="U41" s="8"/>
    </row>
    <row r="42" spans="1:21" ht="27.95" customHeight="1" x14ac:dyDescent="0.2">
      <c r="A42" s="58" t="s">
        <v>40</v>
      </c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23">
        <f t="shared" ca="1" si="0"/>
        <v>38163.599999999999</v>
      </c>
      <c r="O42" s="23">
        <f t="shared" ca="1" si="1"/>
        <v>57245.4</v>
      </c>
      <c r="P42" s="23">
        <v>95409</v>
      </c>
      <c r="Q42" s="8"/>
      <c r="R42" s="8"/>
      <c r="S42" s="8"/>
      <c r="T42" s="8"/>
      <c r="U42" s="8"/>
    </row>
    <row r="43" spans="1:21" x14ac:dyDescent="0.2">
      <c r="A43" s="58" t="s">
        <v>41</v>
      </c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23">
        <f t="shared" ca="1" si="0"/>
        <v>76902</v>
      </c>
      <c r="O43" s="23">
        <f t="shared" ca="1" si="1"/>
        <v>115353</v>
      </c>
      <c r="P43" s="23">
        <v>192255</v>
      </c>
      <c r="Q43" s="8"/>
      <c r="R43" s="8"/>
      <c r="S43" s="8"/>
      <c r="T43" s="8"/>
      <c r="U43" s="8"/>
    </row>
    <row r="44" spans="1:21" x14ac:dyDescent="0.2">
      <c r="A44" s="58" t="s">
        <v>42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23" t="str">
        <f t="shared" ca="1" si="0"/>
        <v xml:space="preserve"> </v>
      </c>
      <c r="O44" s="23" t="str">
        <f t="shared" ca="1" si="1"/>
        <v xml:space="preserve"> </v>
      </c>
      <c r="P44" s="23"/>
      <c r="Q44" s="8"/>
      <c r="R44" s="8"/>
      <c r="S44" s="8"/>
      <c r="T44" s="8"/>
      <c r="U44" s="8"/>
    </row>
    <row r="45" spans="1:21" x14ac:dyDescent="0.2">
      <c r="A45" s="58" t="s">
        <v>43</v>
      </c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23">
        <f t="shared" ca="1" si="0"/>
        <v>260.8</v>
      </c>
      <c r="O45" s="23">
        <f t="shared" ca="1" si="1"/>
        <v>391.2</v>
      </c>
      <c r="P45" s="23">
        <v>652</v>
      </c>
      <c r="Q45" s="8"/>
      <c r="R45" s="8"/>
      <c r="S45" s="8"/>
      <c r="T45" s="8"/>
      <c r="U45" s="8"/>
    </row>
    <row r="46" spans="1:21" x14ac:dyDescent="0.2">
      <c r="A46" s="58" t="s">
        <v>44</v>
      </c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23">
        <f t="shared" ca="1" si="0"/>
        <v>13842.36</v>
      </c>
      <c r="O46" s="23">
        <f t="shared" ca="1" si="1"/>
        <v>20763.54</v>
      </c>
      <c r="P46" s="23">
        <v>34605.9</v>
      </c>
      <c r="Q46" s="8"/>
      <c r="R46" s="8"/>
      <c r="S46" s="8"/>
      <c r="T46" s="8"/>
      <c r="U46" s="8"/>
    </row>
    <row r="47" spans="1:21" x14ac:dyDescent="0.2">
      <c r="A47" s="65" t="s">
        <v>45</v>
      </c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24">
        <f t="shared" ca="1" si="0"/>
        <v>90744.36</v>
      </c>
      <c r="O47" s="24">
        <f t="shared" ca="1" si="1"/>
        <v>136116.53999999998</v>
      </c>
      <c r="P47" s="24">
        <v>226860.9</v>
      </c>
      <c r="Q47" s="8"/>
      <c r="R47" s="8"/>
      <c r="S47" s="8"/>
      <c r="T47" s="8"/>
      <c r="U47" s="8"/>
    </row>
    <row r="48" spans="1:2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9"/>
      <c r="R48" s="9"/>
      <c r="S48" s="9"/>
      <c r="T48" s="9"/>
      <c r="U48" s="9"/>
    </row>
    <row r="49" spans="1:27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</row>
    <row r="50" spans="1:27" s="2" customFormat="1" x14ac:dyDescent="0.2">
      <c r="A50" s="40" t="s">
        <v>67</v>
      </c>
      <c r="B50" s="40"/>
      <c r="C50" s="40"/>
      <c r="D50" s="40"/>
      <c r="E50" s="40"/>
      <c r="F50" s="40"/>
      <c r="G50" s="40"/>
      <c r="H50" s="41"/>
      <c r="I50" s="41"/>
      <c r="J50" s="41"/>
      <c r="K50" s="41"/>
      <c r="L50" s="41"/>
      <c r="M50" s="41"/>
      <c r="N50" s="41"/>
      <c r="O50" s="41"/>
      <c r="P50" s="41"/>
      <c r="AA50" s="28"/>
    </row>
    <row r="51" spans="1:27" s="2" customFormat="1" x14ac:dyDescent="0.2">
      <c r="A51" s="51" t="s">
        <v>63</v>
      </c>
      <c r="B51" s="52"/>
      <c r="C51" s="52"/>
      <c r="D51" s="52"/>
      <c r="E51" s="52"/>
      <c r="F51" s="52"/>
      <c r="G51" s="52"/>
      <c r="H51" s="41"/>
      <c r="I51" s="41"/>
      <c r="J51" s="41"/>
      <c r="K51" s="41"/>
      <c r="AA51" s="28"/>
    </row>
    <row r="52" spans="1:27" s="2" customFormat="1" x14ac:dyDescent="0.2">
      <c r="A52" s="33"/>
      <c r="B52" s="34"/>
      <c r="C52" s="32"/>
      <c r="D52" s="33"/>
      <c r="E52" s="35"/>
      <c r="F52" s="35"/>
      <c r="G52" s="36"/>
      <c r="AA52" s="28"/>
    </row>
    <row r="53" spans="1:27" s="2" customFormat="1" x14ac:dyDescent="0.2">
      <c r="A53" s="40" t="s">
        <v>68</v>
      </c>
      <c r="B53" s="40"/>
      <c r="C53" s="40"/>
      <c r="D53" s="40"/>
      <c r="E53" s="40"/>
      <c r="F53" s="40"/>
      <c r="G53" s="40"/>
      <c r="H53" s="41"/>
      <c r="I53" s="41"/>
      <c r="J53" s="41"/>
      <c r="K53" s="41"/>
      <c r="L53" s="41"/>
      <c r="M53" s="41"/>
      <c r="N53" s="42"/>
      <c r="O53" s="42"/>
      <c r="P53" s="42"/>
      <c r="Q53" s="42"/>
      <c r="R53" s="42"/>
      <c r="AA53" s="28"/>
    </row>
    <row r="54" spans="1:27" s="2" customFormat="1" x14ac:dyDescent="0.2">
      <c r="A54" s="51" t="s">
        <v>64</v>
      </c>
      <c r="B54" s="51"/>
      <c r="C54" s="51"/>
      <c r="D54" s="51"/>
      <c r="E54" s="51"/>
      <c r="F54" s="51"/>
      <c r="G54" s="51"/>
      <c r="H54" s="41"/>
      <c r="I54" s="41"/>
      <c r="J54" s="41"/>
      <c r="K54" s="41"/>
      <c r="AA54" s="28"/>
    </row>
    <row r="55" spans="1:27" x14ac:dyDescent="0.2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</row>
  </sheetData>
  <mergeCells count="41">
    <mergeCell ref="A18:F18"/>
    <mergeCell ref="A16:P16"/>
    <mergeCell ref="A17:P17"/>
    <mergeCell ref="A47:M47"/>
    <mergeCell ref="A31:P31"/>
    <mergeCell ref="A34:P34"/>
    <mergeCell ref="A37:M37"/>
    <mergeCell ref="A38:M38"/>
    <mergeCell ref="A39:M39"/>
    <mergeCell ref="K1:P1"/>
    <mergeCell ref="A8:D8"/>
    <mergeCell ref="A10:P10"/>
    <mergeCell ref="A12:I12"/>
    <mergeCell ref="A46:M46"/>
    <mergeCell ref="E20:E21"/>
    <mergeCell ref="F20:F21"/>
    <mergeCell ref="M20:M21"/>
    <mergeCell ref="N20:P21"/>
    <mergeCell ref="A40:M40"/>
    <mergeCell ref="A41:M41"/>
    <mergeCell ref="A42:M42"/>
    <mergeCell ref="A43:M43"/>
    <mergeCell ref="A44:M44"/>
    <mergeCell ref="A45:M45"/>
    <mergeCell ref="A28:P28"/>
    <mergeCell ref="A55:P55"/>
    <mergeCell ref="A9:P9"/>
    <mergeCell ref="A53:R53"/>
    <mergeCell ref="A20:A21"/>
    <mergeCell ref="B20:B21"/>
    <mergeCell ref="A23:P23"/>
    <mergeCell ref="A26:M26"/>
    <mergeCell ref="A27:M27"/>
    <mergeCell ref="C20:C21"/>
    <mergeCell ref="D20:D21"/>
    <mergeCell ref="A50:P50"/>
    <mergeCell ref="A51:K51"/>
    <mergeCell ref="A54:K54"/>
    <mergeCell ref="A13:B13"/>
    <mergeCell ref="A14:B14"/>
    <mergeCell ref="A15:C15"/>
  </mergeCells>
  <phoneticPr fontId="4" type="noConversion"/>
  <pageMargins left="0.78740157480314965" right="0.39370078740157483" top="0.39370078740157483" bottom="0.39370078740157483" header="0.23622047244094491" footer="0.23622047244094491"/>
  <pageSetup paperSize="9" scale="88" fitToHeight="30000" orientation="landscape" r:id="rId1"/>
  <headerFooter alignWithMargins="0">
    <oddHeader>&amp;LГРАНД-Смета</oddHeader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3" r:id="rId4" name="Button 29">
              <controlPr defaultSize="0" print="0" autoFill="0" autoPict="0" macro="[0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2"/>
  <sheetViews>
    <sheetView workbookViewId="0">
      <selection activeCell="A12" sqref="A12"/>
    </sheetView>
  </sheetViews>
  <sheetFormatPr defaultRowHeight="12.75" x14ac:dyDescent="0.2"/>
  <sheetData>
    <row r="12" spans="1:1" x14ac:dyDescent="0.2">
      <c r="A12">
        <f>MAX('Мои данные'!L:L)</f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Мои данные</vt:lpstr>
      <vt:lpstr>Вспомогательный</vt:lpstr>
      <vt:lpstr>'Мои данные'!Заголовки_для_печати</vt:lpstr>
      <vt:lpstr>'Мои данные'!Область_печати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Наталья Валерьевна</dc:creator>
  <dc:description>17.05.2010</dc:description>
  <cp:lastModifiedBy>Козлов Станислав Анатольевич</cp:lastModifiedBy>
  <cp:lastPrinted>2017-02-21T01:30:34Z</cp:lastPrinted>
  <dcterms:created xsi:type="dcterms:W3CDTF">2007-02-21T08:42:24Z</dcterms:created>
  <dcterms:modified xsi:type="dcterms:W3CDTF">2017-02-21T05:39:39Z</dcterms:modified>
</cp:coreProperties>
</file>