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pdc\Общий доступ\Реализация капитального ремонта\2017\Сметы на аукцион\2017-03\"/>
    </mc:Choice>
  </mc:AlternateContent>
  <bookViews>
    <workbookView xWindow="-15" yWindow="5940" windowWidth="15480" windowHeight="5775"/>
  </bookViews>
  <sheets>
    <sheet name="Мои данные" sheetId="1" r:id="rId1"/>
    <sheet name="Вспомогательный" sheetId="2" state="hidden" r:id="rId2"/>
  </sheets>
  <definedNames>
    <definedName name="_xlnm.Print_Titles" localSheetId="0">'Мои данные'!$23:$23</definedName>
    <definedName name="_xlnm.Print_Area" localSheetId="0">'Мои данные'!$A$1:$P$89</definedName>
  </definedNames>
  <calcPr calcId="152511"/>
</workbook>
</file>

<file path=xl/calcChain.xml><?xml version="1.0" encoding="utf-8"?>
<calcChain xmlns="http://schemas.openxmlformats.org/spreadsheetml/2006/main">
  <c r="E64" i="1" l="1"/>
  <c r="E65" i="1"/>
  <c r="E53" i="1"/>
  <c r="E54" i="1"/>
  <c r="E43" i="1"/>
  <c r="E44" i="1"/>
  <c r="E34" i="1"/>
  <c r="E25" i="1"/>
  <c r="A12" i="2"/>
  <c r="O77" i="1"/>
  <c r="O69" i="1"/>
  <c r="N60" i="1"/>
  <c r="O45" i="1"/>
  <c r="N35" i="1"/>
  <c r="N32" i="1"/>
  <c r="F34" i="1"/>
  <c r="O80" i="1"/>
  <c r="O70" i="1"/>
  <c r="O62" i="1"/>
  <c r="O50" i="1"/>
  <c r="N38" i="1"/>
  <c r="N27" i="1"/>
  <c r="O75" i="1"/>
  <c r="O57" i="1"/>
  <c r="O46" i="1"/>
  <c r="F25" i="1"/>
  <c r="O82" i="1"/>
  <c r="O72" i="1"/>
  <c r="N55" i="1"/>
  <c r="F54" i="1"/>
  <c r="F44" i="1"/>
  <c r="N40" i="1"/>
  <c r="N29" i="1"/>
  <c r="O76" i="1"/>
  <c r="F65" i="1"/>
  <c r="N51" i="1"/>
  <c r="N30" i="1"/>
  <c r="D34" i="1"/>
  <c r="N57" i="1"/>
  <c r="D25" i="1"/>
  <c r="N45" i="1"/>
  <c r="N82" i="1"/>
  <c r="P64" i="1"/>
  <c r="O37" i="1"/>
  <c r="F64" i="1"/>
  <c r="N72" i="1"/>
  <c r="N50" i="1"/>
  <c r="O41" i="1"/>
  <c r="D64" i="1"/>
  <c r="N80" i="1"/>
  <c r="N68" i="1"/>
  <c r="P65" i="1"/>
  <c r="O65" i="1" s="1"/>
  <c r="O60" i="1"/>
  <c r="N46" i="1"/>
  <c r="O35" i="1"/>
  <c r="O32" i="1"/>
  <c r="N31" i="1"/>
  <c r="N79" i="1"/>
  <c r="N71" i="1"/>
  <c r="N61" i="1"/>
  <c r="N47" i="1"/>
  <c r="F43" i="1"/>
  <c r="O40" i="1"/>
  <c r="O29" i="1"/>
  <c r="O66" i="1"/>
  <c r="O58" i="1"/>
  <c r="N64" i="1"/>
  <c r="N81" i="1"/>
  <c r="N73" i="1"/>
  <c r="O55" i="1"/>
  <c r="N49" i="1"/>
  <c r="D44" i="1"/>
  <c r="P34" i="1"/>
  <c r="O31" i="1"/>
  <c r="N75" i="1"/>
  <c r="P43" i="1"/>
  <c r="D43" i="1"/>
  <c r="O59" i="1"/>
  <c r="P25" i="1"/>
  <c r="N62" i="1"/>
  <c r="O26" i="1"/>
  <c r="O51" i="1"/>
  <c r="O74" i="1"/>
  <c r="O56" i="1"/>
  <c r="O28" i="1"/>
  <c r="P53" i="1"/>
  <c r="O53" i="1" s="1"/>
  <c r="O34" i="1"/>
  <c r="O78" i="1"/>
  <c r="O68" i="1"/>
  <c r="N59" i="1"/>
  <c r="F53" i="1"/>
  <c r="O48" i="1"/>
  <c r="N36" i="1"/>
  <c r="O27" i="1"/>
  <c r="N74" i="1"/>
  <c r="O79" i="1"/>
  <c r="O71" i="1"/>
  <c r="O61" i="1"/>
  <c r="O47" i="1"/>
  <c r="N37" i="1"/>
  <c r="N26" i="1"/>
  <c r="N25" i="1"/>
  <c r="O67" i="1"/>
  <c r="P54" i="1"/>
  <c r="O36" i="1"/>
  <c r="N76" i="1"/>
  <c r="O81" i="1"/>
  <c r="O73" i="1"/>
  <c r="N56" i="1"/>
  <c r="O49" i="1"/>
  <c r="N39" i="1"/>
  <c r="N28" i="1"/>
  <c r="O25" i="1"/>
  <c r="N66" i="1"/>
  <c r="N58" i="1"/>
  <c r="N41" i="1"/>
  <c r="N34" i="1"/>
  <c r="D53" i="1"/>
  <c r="N69" i="1"/>
  <c r="P44" i="1"/>
  <c r="O38" i="1"/>
  <c r="N70" i="1"/>
  <c r="N48" i="1"/>
  <c r="N78" i="1"/>
  <c r="O30" i="1"/>
  <c r="N65" i="1"/>
  <c r="O39" i="1"/>
  <c r="N67" i="1"/>
  <c r="N53" i="1"/>
  <c r="N77" i="1"/>
  <c r="N43" i="1"/>
  <c r="N54" i="1"/>
  <c r="N44" i="1"/>
  <c r="O44" i="1"/>
  <c r="O54" i="1"/>
  <c r="D54" i="1"/>
  <c r="O43" i="1"/>
  <c r="O64" i="1"/>
  <c r="D65" i="1"/>
</calcChain>
</file>

<file path=xl/comments1.xml><?xml version="1.0" encoding="utf-8"?>
<comments xmlns="http://schemas.openxmlformats.org/spreadsheetml/2006/main">
  <authors>
    <author>Сергей</author>
    <author>Alex Sosedko</author>
    <author>Alex</author>
    <author>YuKazaeva</author>
  </authors>
  <commentList>
    <comment ref="A2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&lt;Основание&gt;</t>
        </r>
      </text>
    </comment>
    <comment ref="A11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&lt;Индекс/ЛН расчета&gt;</t>
        </r>
      </text>
    </comment>
    <comment ref="A23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&lt;Номер позиции по смете&gt;</t>
        </r>
      </text>
    </comment>
    <comment ref="B23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&lt;Наименование (текстовая часть) расценки&gt;</t>
        </r>
      </text>
    </comment>
    <comment ref="C23" authorId="1" shapeId="0">
      <text>
        <r>
          <rPr>
            <sz val="8"/>
            <color indexed="81"/>
            <rFont val="Tahoma"/>
            <family val="2"/>
            <charset val="204"/>
          </rPr>
          <t xml:space="preserve"> &lt;Обоснование (код) позиции&gt;
&lt;Комментарии из базы данных к расценке&gt;
Примечание: &lt;Примечание&gt;</t>
        </r>
      </text>
    </comment>
    <comment ref="D23" authorId="0" shapeId="0">
      <text>
        <r>
          <rPr>
            <sz val="8"/>
            <color indexed="81"/>
            <rFont val="Tahoma"/>
            <family val="2"/>
            <charset val="204"/>
          </rPr>
          <t xml:space="preserve"> =IF(INDIRECT("H"&amp;ROW())="",INDIRECT("E"&amp;ROW()),"(" &amp; INDIRECT("H"&amp;ROW())&amp;")")&amp;IF(INDIRECT("F"&amp;ROW())="0", " * 0", IF(INDIRECT("F"&amp;ROW())="", IF(INDIRECT("I"&amp;ROW())=""," "," * "&amp;INDIRECT("I"&amp;ROW())), " * "&amp;INDIRECT("F"&amp;ROW())))&amp;IF(INDIRECT("G"&amp;ROW())="", " ", " * "&amp;INDIRECT("G"&amp;ROW()))&lt;Пустой идентификатор&gt;</t>
        </r>
      </text>
    </comment>
    <comment ref="E23" authorId="0" shapeId="0">
      <text>
        <r>
          <rPr>
            <sz val="8"/>
            <color indexed="81"/>
            <rFont val="Tahoma"/>
            <family val="2"/>
            <charset val="204"/>
          </rPr>
          <t xml:space="preserve"> =IF(&lt;Пустой идентификатор&gt;&lt;Количество всего (физ. объем) по позиции&gt; = "","0",&lt;Количество всего (физ. объем) по позиции&gt;)</t>
        </r>
      </text>
    </comment>
    <comment ref="F23" authorId="0" shapeId="0">
      <text>
        <r>
          <rPr>
            <sz val="8"/>
            <color indexed="81"/>
            <rFont val="Tahoma"/>
            <family val="2"/>
            <charset val="204"/>
          </rPr>
          <t xml:space="preserve"> =IF(INDIRECT("J" &amp; ROW())="текущие цены", IF(INDIRECT("G" &amp; ROW())="", "&lt;ПЗ по позиции на единицу в текущих ценах с учетом всех к-тов&gt;", "&lt;ПЗ по позиции на единицу в текущих ценах&gt;"), IF(INDIRECT("G" &amp; ROW())="", "&lt;ПЗ по позиции на единицу в базисных ценах с учетом всех к-тов&gt;","&lt;ПЗ по позиции на единицу в базисных ценах&gt;")) </t>
        </r>
      </text>
    </comment>
    <comment ref="G23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&lt;К-т к позиции на прямые затраты&gt;</t>
        </r>
      </text>
    </comment>
    <comment ref="H23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&lt;Формула расчета физ. объема&gt;</t>
        </r>
      </text>
    </comment>
    <comment ref="I23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&lt;Формула расчета стоимости единицы&gt;</t>
        </r>
      </text>
    </comment>
    <comment ref="J23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&lt;Уровень цен позиции&gt;</t>
        </r>
      </text>
    </comment>
    <comment ref="K23" authorId="1" shapeId="0">
      <text>
        <r>
          <rPr>
            <sz val="8"/>
            <color indexed="81"/>
            <rFont val="Tahoma"/>
            <family val="2"/>
            <charset val="204"/>
          </rPr>
          <t xml:space="preserve"> &lt;Обоснование коэффициентов&gt;</t>
        </r>
      </text>
    </comment>
    <comment ref="L23" authorId="2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&lt;Номер раздела&gt;</t>
        </r>
      </text>
    </comment>
    <comment ref="M23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&lt;Ед. измерения по расценке&gt;</t>
        </r>
      </text>
    </comment>
    <comment ref="N23" authorId="3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=IF(ISNUMBER(INDIRECT("P" &amp; ROW())), INDIRECT("P" &amp; ROW())*0.4, " ")&lt;Пустой идентификатор&gt; </t>
        </r>
      </text>
    </comment>
    <comment ref="O23" authorId="3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=IF(ISNUMBER(INDIRECT("P" &amp; ROW())), INDIRECT("P" &amp; ROW())*0.6, " ")&lt;Пустой идентификатор&gt; </t>
        </r>
      </text>
    </comment>
    <comment ref="P23" authorId="2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=IF(INDIRECT("J" &amp; ROW())="текущие цены", &lt;ИТОГО ПЗ по позиции в текущих ценах&gt;, &lt;ИТОГО ПЗ по позиции для БИМ&gt;) 
</t>
        </r>
      </text>
    </comment>
    <comment ref="A74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&lt;Текстовая часть (итоги)&gt;</t>
        </r>
      </text>
    </comment>
    <comment ref="N74" authorId="0" shapeId="0">
      <text>
        <r>
          <rPr>
            <sz val="8"/>
            <color indexed="81"/>
            <rFont val="Tahoma"/>
            <family val="2"/>
            <charset val="204"/>
          </rPr>
          <t xml:space="preserve"> =IF(ISNUMBER(INDIRECT("P" &amp; Row())), INDIRECT("P" &amp; Row()) * 0.4, " ")&lt;Пустой идентификатор&gt;</t>
        </r>
      </text>
    </comment>
    <comment ref="O74" authorId="0" shapeId="0">
      <text>
        <r>
          <rPr>
            <sz val="8"/>
            <color indexed="81"/>
            <rFont val="Tahoma"/>
            <family val="2"/>
            <charset val="204"/>
          </rPr>
          <t xml:space="preserve"> =IF(ISNUMBER(INDIRECT("P" &amp; Row())), INDIRECT("P" &amp; Row()) * 0.6, " ")&lt;Пустой идентификатор&gt;</t>
        </r>
      </text>
    </comment>
    <comment ref="P74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&lt;Прямые затраты (итоги)&gt;</t>
        </r>
      </text>
    </comment>
    <comment ref="A86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&lt;подпись 360 значение&gt;</t>
        </r>
      </text>
    </comment>
    <comment ref="A89" authorId="2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&lt;Составил&gt;</t>
        </r>
      </text>
    </comment>
  </commentList>
</comments>
</file>

<file path=xl/sharedStrings.xml><?xml version="1.0" encoding="utf-8"?>
<sst xmlns="http://schemas.openxmlformats.org/spreadsheetml/2006/main" count="126" uniqueCount="77">
  <si>
    <t>№ пп</t>
  </si>
  <si>
    <t>на проектные (изыскательские)  работы</t>
  </si>
  <si>
    <t xml:space="preserve">СМЕТА № </t>
  </si>
  <si>
    <t>Характеристика предприятия,
здания, сооружения или вид работ</t>
  </si>
  <si>
    <t>Номер частей, глав, таблиц,
параграфов и пунктов указаний к
разделу справочника базовых цен
на проектные и изыскательские
работы для строителей</t>
  </si>
  <si>
    <t>Форма 2п</t>
  </si>
  <si>
    <t>Расчет стоимости: (a+bx)*Kj или
(стоимость
строительно-монтажных
работ)*проц./ 100 или количество * цена, руб.</t>
  </si>
  <si>
    <t>Стоимость работ, руб.</t>
  </si>
  <si>
    <t>Раздел 1. Обмерные работы</t>
  </si>
  <si>
    <t>Обмерные работы для многоэтажных зданий II категории сложности, категория сложности работ 2, высота здания до 15 м</t>
  </si>
  <si>
    <t>СБЦ99-2-2-2-10
"Обмерные работы и обследования зданий (1998г.)"</t>
  </si>
  <si>
    <t>1,1*0,75*0,1177</t>
  </si>
  <si>
    <t>14585 / 100</t>
  </si>
  <si>
    <t>цены 2001</t>
  </si>
  <si>
    <t>(11 Сейсмичность 7 баллов ПЗ=1,1;
2.11 При выполнении работ с использованием и сверкой имеющихся чертежей и выдачей скорректированных чертежей заказчику ПЗ=0,75;
10,59%-крыши, 1,18%-планы кровли со вскрытиями (табл.8 п. 12, п. 13) ПЗ=0,1177)</t>
  </si>
  <si>
    <t>100 м3 строительного объема здания</t>
  </si>
  <si>
    <t>Итого прямые затраты по разделу в ценах 2001г.</t>
  </si>
  <si>
    <t>Итоги по разделу 1 Обмерные работы :</t>
  </si>
  <si>
    <t xml:space="preserve">  Проектные работы: Обмерные работы и обследования зданий (1998)</t>
  </si>
  <si>
    <t xml:space="preserve">  Итого</t>
  </si>
  <si>
    <t xml:space="preserve">  Всего с учетом "Обмерные и инженерное обследование (приложение 3 к письму Минстроя Росси от 03.06.2016 №17269-ХМ/09) СМР=30,17"</t>
  </si>
  <si>
    <t xml:space="preserve">    Справочно, в ценах 2001г.:</t>
  </si>
  <si>
    <t xml:space="preserve">  Итого по разделу 1 Обмерные работы</t>
  </si>
  <si>
    <t>Раздел 2. Инженерные обследования</t>
  </si>
  <si>
    <t>Инженерные обследования строительных конструкций многоэтажных зданий II категории сложности, категория сложности работ 2, высота здания до 15 м</t>
  </si>
  <si>
    <t>СБЦ99-4-2-2-10
"Обмерные работы и обследования зданий (1998г.)"</t>
  </si>
  <si>
    <t>1,1*0,034</t>
  </si>
  <si>
    <t>(11 Сейсмичность 7 баллов ПЗ=1,1;
3,4%-кровля (таблица 9) ПЗ=0,034 (ОЗП=0,034; ЭМ=0,034 к расх.; ЗПМ=0,034; МАТ=0,034 к расх.; ТЗ=0,034; ТЗМ=0,034))</t>
  </si>
  <si>
    <t>Итоги по разделу 2 Инженерные обследования :</t>
  </si>
  <si>
    <t xml:space="preserve">  Итого по разделу 2 Инженерные обследования</t>
  </si>
  <si>
    <t>Раздел 3. Проектные работы</t>
  </si>
  <si>
    <t>Жилые дома: пятиэтажные</t>
  </si>
  <si>
    <t>СБЦП05-1-1-5-А
/Таблица: СБЦП05-1-1-5 параметр: А/ "Кап. ремонт зданий и сооружений жилищно-гражд. назн. (2012 г.)"</t>
  </si>
  <si>
    <t>0,021*1,1</t>
  </si>
  <si>
    <t>(Таб.12 п.7 Ремонт (замена) кровли и ограждающих конструкций: здания каркасные многоэтажные - 2,1% ПЗ=0,021;
Таб.11 п.4 Сейсмичность 7 баллов ПЗ=1,1)</t>
  </si>
  <si>
    <t>объект</t>
  </si>
  <si>
    <t>СБЦП05-1-1-5-Б
/Таблица: СБЦП05-1-1-5 параметр: Б/ "Кап. ремонт зданий и сооружений жилищно-гражд. назн. (2012 г.)"</t>
  </si>
  <si>
    <t>1,1*0,021</t>
  </si>
  <si>
    <t>(Таб.11 п.4 Сейсмичность 7 баллов ПЗ=1,1;
Таб.12 п.7 Ремонт (замена) кровли и ограждающих конструкций: здания каркасные многоэтажные - 2,1% ПЗ=0,021)</t>
  </si>
  <si>
    <t>м3</t>
  </si>
  <si>
    <t>Итоги по разделу 3 Проектные работы :</t>
  </si>
  <si>
    <t xml:space="preserve">  Проектные работы: Капитальный ремонт зданий и сооружений ж/г назначения (2012)</t>
  </si>
  <si>
    <t xml:space="preserve">  Всего с учетом "Проектные работы (приложение 3 к письму Минстроя Росси от  03.06.2016 №17269-ХМ/09) СМР=3,92"</t>
  </si>
  <si>
    <t xml:space="preserve">  Итого по разделу 3 Проектные работы</t>
  </si>
  <si>
    <t>Раздел 4. ПОС</t>
  </si>
  <si>
    <t>1,1*0,021*0,04</t>
  </si>
  <si>
    <t>(Таб.11 п.4 Сейсмичность 7 баллов ПЗ=1,1;
Таб.12 п.7 Ремонт (замена) кровли и ограждающих конструкций: здания каркасные многоэтажные - 2,1% ПЗ=0,021;
Таб.12 п.18 Проект организации строительства (ПОС): здания каркасные многоэтажные - 4,0% ПЗ=0,04)</t>
  </si>
  <si>
    <t>Итоги по разделу 4 ПОС :</t>
  </si>
  <si>
    <t xml:space="preserve">      Машины и механизмы</t>
  </si>
  <si>
    <t xml:space="preserve">  Итого по разделу 4 ПОС</t>
  </si>
  <si>
    <t>Раздел 5. Сметная документация</t>
  </si>
  <si>
    <t>1,1*0,021*0,05</t>
  </si>
  <si>
    <t>(Таб.11 п.4 Сейсмичность 7 баллов ПЗ=1,1;
Таб.12 п.7 Ремонт (замена) кровли и ограждающих конструкций: здания каркасные многоэтажные - 2,1% ПЗ=0,021;
Таб.12 п.19 Сметная документация: здания бескаркасные многоэтажные - 5,0% ПЗ=0,05)</t>
  </si>
  <si>
    <t>(Таб.11 п.4 Сейсмичность 7 баллов ПЗ=1,1;
Таб.12 п.7 Ремонт (замена) кровли и ограждающих конструкций: здания каркасные многоэтажные - 2,1% ПЗ=0,021;
Таб.12 п.19 Сметная документация: здания каркасные многоэтажные - 5,0% ПЗ=0,05)</t>
  </si>
  <si>
    <t>Итоги по разделу 5 Сметная документация :</t>
  </si>
  <si>
    <t xml:space="preserve">  Итого по разделу 5 Сметная документация</t>
  </si>
  <si>
    <t>Итого прямые затраты по смете в ценах 2001г.</t>
  </si>
  <si>
    <t>Итоги по смете:</t>
  </si>
  <si>
    <t xml:space="preserve">  Итого Поз. 1-2 "Обмерные и инженерное обследование (приложение 3 к письму Минстроя Росси от 03.06.2016 №17269-ХМ/09) СМР=30,17"</t>
  </si>
  <si>
    <t xml:space="preserve">  Итого Поз. 3-8 "Проектные работы (приложение 3 к письму Минстроя Росси от  03.06.2016 №17269-ХМ/09) СМР=3,92"</t>
  </si>
  <si>
    <t xml:space="preserve">  НДС 18%</t>
  </si>
  <si>
    <t xml:space="preserve">  ВСЕГО по смете</t>
  </si>
  <si>
    <t>Обоснование</t>
  </si>
  <si>
    <t>Единица измерения</t>
  </si>
  <si>
    <r>
      <t xml:space="preserve">Составил: </t>
    </r>
    <r>
      <rPr>
        <u/>
        <sz val="9"/>
        <rFont val="Times New Roman"/>
        <family val="1"/>
        <charset val="204"/>
      </rPr>
      <t>главный специалист СО НО "Хабаровский краевой фонд капитального ремонта"</t>
    </r>
    <r>
      <rPr>
        <sz val="9"/>
        <rFont val="Times New Roman"/>
        <family val="1"/>
        <charset val="204"/>
      </rPr>
      <t xml:space="preserve"> ________/Н.А.Чередеева</t>
    </r>
  </si>
  <si>
    <t>(должность, подпись, расшифровка)</t>
  </si>
  <si>
    <r>
      <t>Проверил : _</t>
    </r>
    <r>
      <rPr>
        <u/>
        <sz val="9"/>
        <rFont val="Times New Roman"/>
        <family val="1"/>
        <charset val="204"/>
      </rPr>
      <t>начальник СО НО "Хабаровский краевой фонд капитального ремонта"</t>
    </r>
    <r>
      <rPr>
        <sz val="9"/>
        <rFont val="Times New Roman"/>
        <family val="1"/>
        <charset val="204"/>
      </rPr>
      <t xml:space="preserve"> _____________/Е.С. Сорокина</t>
    </r>
  </si>
  <si>
    <t>Год постройки                    1986</t>
  </si>
  <si>
    <t>Объем здания, м3               14585</t>
  </si>
  <si>
    <t>Здание жилое                     5 этажей    4 подъезда</t>
  </si>
  <si>
    <t xml:space="preserve">                                                  УТВЕРЖДАЮ:</t>
  </si>
  <si>
    <t xml:space="preserve">                                                  Директор НО "Хабаровский краевой фонд капитального ремонта"</t>
  </si>
  <si>
    <t xml:space="preserve">                                                   _____________________А. В. Сидорова</t>
  </si>
  <si>
    <t xml:space="preserve">                                                   "___"______________2017 год</t>
  </si>
  <si>
    <t>Наименование  объекта     5-  этажный жилой дом по адресу: Хабаровский край, п. Солнечный, ул. Строителей, д. 11</t>
  </si>
  <si>
    <t>Вид проектных или изыскательских работ:   На разработку проектной  документации на капитальный ремонт крыши по адресу: Хабаровский край, п. Солнечный, ул. Строителей, д. 11</t>
  </si>
  <si>
    <t>Наименование организации заказчика: НО "Хабаровский краевой фонд капитального ремонта"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</si>
</sst>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0"/>
      <name val="Arial Cyr"/>
      <charset val="204"/>
    </font>
    <font>
      <sz val="10"/>
      <name val="Arial Cyr"/>
      <charset val="204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9"/>
      <name val="Arial Cyr"/>
      <charset val="204"/>
    </font>
    <font>
      <b/>
      <sz val="10"/>
      <name val="Arial Cyr"/>
      <charset val="204"/>
    </font>
    <font>
      <b/>
      <sz val="11"/>
      <name val="Arial"/>
      <family val="2"/>
      <charset val="204"/>
    </font>
    <font>
      <b/>
      <sz val="11"/>
      <name val="Arial Cyr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u/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sz val="8"/>
      <name val="Times New Roman"/>
      <family val="1"/>
      <charset val="204"/>
    </font>
    <font>
      <sz val="8"/>
      <color rgb="FF000000"/>
      <name val="Arial Cyr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4">
    <xf numFmtId="0" fontId="0" fillId="0" borderId="0"/>
    <xf numFmtId="0" fontId="5" fillId="0" borderId="1">
      <alignment horizontal="center"/>
    </xf>
    <xf numFmtId="0" fontId="1" fillId="0" borderId="0">
      <alignment vertical="top"/>
    </xf>
    <xf numFmtId="0" fontId="5" fillId="0" borderId="1">
      <alignment horizontal="center"/>
    </xf>
    <xf numFmtId="0" fontId="5" fillId="0" borderId="0">
      <alignment vertical="top"/>
    </xf>
    <xf numFmtId="0" fontId="5" fillId="0" borderId="0">
      <alignment horizontal="right" vertical="top" wrapText="1"/>
    </xf>
    <xf numFmtId="0" fontId="5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5" fillId="0" borderId="1">
      <alignment horizontal="center" wrapText="1"/>
    </xf>
    <xf numFmtId="0" fontId="1" fillId="0" borderId="0">
      <alignment vertical="top"/>
    </xf>
    <xf numFmtId="0" fontId="1" fillId="0" borderId="0"/>
    <xf numFmtId="0" fontId="1" fillId="0" borderId="0"/>
    <xf numFmtId="0" fontId="5" fillId="0" borderId="0"/>
    <xf numFmtId="0" fontId="5" fillId="0" borderId="1">
      <alignment horizontal="center" wrapText="1"/>
    </xf>
    <xf numFmtId="0" fontId="5" fillId="0" borderId="1">
      <alignment horizontal="center"/>
    </xf>
    <xf numFmtId="0" fontId="5" fillId="0" borderId="1">
      <alignment horizontal="center" wrapText="1"/>
    </xf>
    <xf numFmtId="0" fontId="1" fillId="0" borderId="0"/>
    <xf numFmtId="0" fontId="5" fillId="0" borderId="0">
      <alignment horizontal="center"/>
    </xf>
    <xf numFmtId="0" fontId="5" fillId="0" borderId="0">
      <alignment horizontal="left" vertical="top"/>
    </xf>
    <xf numFmtId="0" fontId="5" fillId="0" borderId="0"/>
  </cellStyleXfs>
  <cellXfs count="76">
    <xf numFmtId="0" fontId="0" fillId="0" borderId="0" xfId="0"/>
    <xf numFmtId="0" fontId="6" fillId="0" borderId="0" xfId="0" applyFont="1"/>
    <xf numFmtId="0" fontId="7" fillId="0" borderId="0" xfId="0" applyFont="1"/>
    <xf numFmtId="0" fontId="7" fillId="0" borderId="0" xfId="21" applyFont="1" applyBorder="1">
      <alignment horizontal="center"/>
    </xf>
    <xf numFmtId="0" fontId="7" fillId="0" borderId="0" xfId="21" applyFont="1" applyBorder="1" applyAlignment="1">
      <alignment horizontal="right"/>
    </xf>
    <xf numFmtId="0" fontId="7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vertical="top" wrapText="1"/>
    </xf>
    <xf numFmtId="0" fontId="6" fillId="0" borderId="0" xfId="0" applyFont="1" applyAlignment="1">
      <alignment vertical="top"/>
    </xf>
    <xf numFmtId="0" fontId="9" fillId="0" borderId="0" xfId="0" applyFont="1" applyAlignment="1">
      <alignment horizontal="right"/>
    </xf>
    <xf numFmtId="0" fontId="6" fillId="0" borderId="0" xfId="0" applyFont="1" applyAlignment="1">
      <alignment wrapText="1"/>
    </xf>
    <xf numFmtId="0" fontId="7" fillId="0" borderId="3" xfId="12" applyFont="1" applyBorder="1">
      <alignment horizontal="center" wrapText="1"/>
    </xf>
    <xf numFmtId="49" fontId="7" fillId="0" borderId="1" xfId="0" applyNumberFormat="1" applyFont="1" applyBorder="1" applyAlignment="1">
      <alignment horizontal="center" vertical="top" wrapText="1"/>
    </xf>
    <xf numFmtId="0" fontId="7" fillId="0" borderId="1" xfId="0" applyFont="1" applyBorder="1" applyAlignment="1">
      <alignment horizontal="left" vertical="top" wrapText="1"/>
    </xf>
    <xf numFmtId="10" fontId="7" fillId="0" borderId="1" xfId="0" applyNumberFormat="1" applyFont="1" applyBorder="1" applyAlignment="1">
      <alignment horizontal="center" vertical="top" wrapText="1"/>
    </xf>
    <xf numFmtId="0" fontId="7" fillId="0" borderId="1" xfId="0" applyNumberFormat="1" applyFont="1" applyBorder="1" applyAlignment="1">
      <alignment horizontal="center" vertical="top" wrapText="1"/>
    </xf>
    <xf numFmtId="2" fontId="7" fillId="0" borderId="1" xfId="0" applyNumberFormat="1" applyFont="1" applyBorder="1" applyAlignment="1">
      <alignment horizontal="right" vertical="top" wrapText="1"/>
    </xf>
    <xf numFmtId="49" fontId="7" fillId="0" borderId="3" xfId="0" applyNumberFormat="1" applyFont="1" applyBorder="1" applyAlignment="1">
      <alignment horizontal="center" vertical="top" wrapText="1"/>
    </xf>
    <xf numFmtId="0" fontId="7" fillId="0" borderId="3" xfId="0" applyFont="1" applyBorder="1" applyAlignment="1">
      <alignment horizontal="left" vertical="top" wrapText="1"/>
    </xf>
    <xf numFmtId="10" fontId="7" fillId="0" borderId="3" xfId="0" applyNumberFormat="1" applyFont="1" applyBorder="1" applyAlignment="1">
      <alignment horizontal="center" vertical="top" wrapText="1"/>
    </xf>
    <xf numFmtId="0" fontId="7" fillId="0" borderId="3" xfId="0" applyNumberFormat="1" applyFont="1" applyBorder="1" applyAlignment="1">
      <alignment horizontal="center" vertical="top" wrapText="1"/>
    </xf>
    <xf numFmtId="2" fontId="7" fillId="0" borderId="3" xfId="0" applyNumberFormat="1" applyFont="1" applyBorder="1" applyAlignment="1">
      <alignment horizontal="right" vertical="top" wrapText="1"/>
    </xf>
    <xf numFmtId="2" fontId="8" fillId="0" borderId="1" xfId="0" applyNumberFormat="1" applyFont="1" applyBorder="1" applyAlignment="1">
      <alignment horizontal="right" vertical="top" wrapText="1"/>
    </xf>
    <xf numFmtId="2" fontId="8" fillId="0" borderId="3" xfId="0" applyNumberFormat="1" applyFont="1" applyBorder="1" applyAlignment="1">
      <alignment horizontal="right" vertical="top" wrapText="1"/>
    </xf>
    <xf numFmtId="2" fontId="7" fillId="0" borderId="1" xfId="5" applyNumberFormat="1" applyFont="1" applyBorder="1" applyAlignment="1">
      <alignment horizontal="right" vertical="top" wrapText="1"/>
    </xf>
    <xf numFmtId="2" fontId="8" fillId="0" borderId="1" xfId="5" applyNumberFormat="1" applyFont="1" applyBorder="1" applyAlignment="1">
      <alignment horizontal="right" vertical="top" wrapText="1"/>
    </xf>
    <xf numFmtId="0" fontId="5" fillId="0" borderId="0" xfId="0" applyFont="1"/>
    <xf numFmtId="0" fontId="5" fillId="0" borderId="0" xfId="0" applyFont="1" applyAlignment="1">
      <alignment horizontal="left" vertical="top"/>
    </xf>
    <xf numFmtId="0" fontId="5" fillId="0" borderId="0" xfId="21" applyFont="1" applyBorder="1" applyAlignment="1">
      <alignment horizontal="left" vertical="top" wrapText="1"/>
    </xf>
    <xf numFmtId="0" fontId="9" fillId="0" borderId="0" xfId="0" applyFont="1"/>
    <xf numFmtId="0" fontId="6" fillId="0" borderId="0" xfId="0" applyFont="1" applyAlignment="1"/>
    <xf numFmtId="0" fontId="5" fillId="0" borderId="0" xfId="0" applyFont="1" applyAlignment="1">
      <alignment wrapText="1"/>
    </xf>
    <xf numFmtId="0" fontId="5" fillId="0" borderId="0" xfId="0" applyFont="1" applyAlignment="1">
      <alignment horizontal="left"/>
    </xf>
    <xf numFmtId="0" fontId="5" fillId="0" borderId="0" xfId="0" applyFont="1" applyAlignment="1"/>
    <xf numFmtId="0" fontId="7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6" fillId="0" borderId="0" xfId="0" applyFont="1" applyAlignment="1">
      <alignment horizontal="left" wrapText="1"/>
    </xf>
    <xf numFmtId="0" fontId="14" fillId="0" borderId="0" xfId="0" applyFont="1" applyAlignment="1">
      <alignment horizontal="left" vertical="top" wrapText="1"/>
    </xf>
    <xf numFmtId="49" fontId="14" fillId="0" borderId="0" xfId="0" applyNumberFormat="1" applyFont="1" applyAlignment="1">
      <alignment horizontal="left" vertical="top" wrapText="1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top"/>
    </xf>
    <xf numFmtId="0" fontId="6" fillId="0" borderId="0" xfId="0" applyFont="1" applyAlignment="1">
      <alignment horizontal="right"/>
    </xf>
    <xf numFmtId="0" fontId="6" fillId="0" borderId="0" xfId="0" applyFont="1" applyAlignment="1">
      <alignment horizontal="right" wrapText="1"/>
    </xf>
    <xf numFmtId="0" fontId="5" fillId="0" borderId="0" xfId="0" applyFont="1" applyAlignment="1"/>
    <xf numFmtId="0" fontId="1" fillId="0" borderId="0" xfId="0" applyFont="1"/>
    <xf numFmtId="0" fontId="14" fillId="0" borderId="0" xfId="0" applyFont="1"/>
    <xf numFmtId="0" fontId="14" fillId="0" borderId="0" xfId="0" applyFont="1" applyAlignment="1">
      <alignment horizontal="right"/>
    </xf>
    <xf numFmtId="0" fontId="1" fillId="0" borderId="0" xfId="0" applyFont="1" applyAlignment="1">
      <alignment wrapText="1"/>
    </xf>
    <xf numFmtId="0" fontId="19" fillId="0" borderId="0" xfId="0" applyFont="1" applyAlignment="1">
      <alignment horizontal="left" vertical="top"/>
    </xf>
    <xf numFmtId="0" fontId="14" fillId="0" borderId="0" xfId="0" applyFont="1" applyAlignment="1">
      <alignment vertical="top"/>
    </xf>
    <xf numFmtId="0" fontId="13" fillId="0" borderId="0" xfId="21" applyFont="1">
      <alignment horizontal="center"/>
    </xf>
    <xf numFmtId="0" fontId="7" fillId="0" borderId="3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0" xfId="21" applyFont="1" applyBorder="1" applyAlignment="1">
      <alignment horizontal="left" wrapText="1"/>
    </xf>
    <xf numFmtId="49" fontId="11" fillId="0" borderId="1" xfId="0" applyNumberFormat="1" applyFont="1" applyBorder="1" applyAlignment="1">
      <alignment horizontal="left" vertical="top" wrapText="1"/>
    </xf>
    <xf numFmtId="0" fontId="12" fillId="0" borderId="1" xfId="0" applyFont="1" applyBorder="1" applyAlignment="1">
      <alignment horizontal="left" vertical="top" wrapText="1"/>
    </xf>
    <xf numFmtId="49" fontId="7" fillId="0" borderId="1" xfId="0" applyNumberFormat="1" applyFont="1" applyBorder="1" applyAlignment="1">
      <alignment horizontal="left" vertical="top" wrapText="1"/>
    </xf>
    <xf numFmtId="0" fontId="0" fillId="0" borderId="1" xfId="0" applyFont="1" applyBorder="1" applyAlignment="1">
      <alignment horizontal="left" vertical="top" wrapText="1"/>
    </xf>
    <xf numFmtId="49" fontId="8" fillId="0" borderId="1" xfId="0" applyNumberFormat="1" applyFont="1" applyBorder="1" applyAlignment="1">
      <alignment horizontal="left" vertical="top" wrapText="1"/>
    </xf>
    <xf numFmtId="0" fontId="10" fillId="0" borderId="1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49" fontId="8" fillId="0" borderId="3" xfId="0" applyNumberFormat="1" applyFont="1" applyBorder="1" applyAlignment="1">
      <alignment horizontal="left" vertical="top" wrapText="1"/>
    </xf>
    <xf numFmtId="0" fontId="10" fillId="0" borderId="3" xfId="0" applyFont="1" applyBorder="1" applyAlignment="1">
      <alignment horizontal="left" vertical="top" wrapText="1"/>
    </xf>
    <xf numFmtId="0" fontId="7" fillId="0" borderId="1" xfId="5" applyFont="1" applyBorder="1" applyAlignment="1">
      <alignment horizontal="left" vertical="top" wrapText="1"/>
    </xf>
    <xf numFmtId="0" fontId="8" fillId="0" borderId="1" xfId="5" applyFont="1" applyBorder="1" applyAlignment="1">
      <alignment horizontal="left" vertical="top" wrapText="1"/>
    </xf>
    <xf numFmtId="0" fontId="16" fillId="0" borderId="0" xfId="0" applyFont="1" applyAlignment="1">
      <alignment horizontal="left" vertical="top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wrapText="1"/>
    </xf>
    <xf numFmtId="0" fontId="5" fillId="0" borderId="0" xfId="0" applyFont="1" applyAlignment="1"/>
    <xf numFmtId="0" fontId="14" fillId="0" borderId="0" xfId="0" applyFont="1" applyAlignment="1">
      <alignment horizontal="left" vertical="top" wrapText="1"/>
    </xf>
    <xf numFmtId="0" fontId="5" fillId="0" borderId="0" xfId="0" applyFont="1" applyAlignment="1">
      <alignment horizontal="left" vertical="top" wrapText="1"/>
    </xf>
  </cellXfs>
  <cellStyles count="24">
    <cellStyle name="Акт" xfId="1"/>
    <cellStyle name="АктМТСН" xfId="2"/>
    <cellStyle name="ВедРесурсов" xfId="3"/>
    <cellStyle name="ВедРесурсовАкт" xfId="4"/>
    <cellStyle name="Итоги" xfId="5"/>
    <cellStyle name="ИтогоАктБазЦ" xfId="6"/>
    <cellStyle name="ИтогоАктБИМ" xfId="7"/>
    <cellStyle name="ИтогоАктРесМет" xfId="8"/>
    <cellStyle name="ИтогоБазЦ" xfId="9"/>
    <cellStyle name="ИтогоБИМ" xfId="10"/>
    <cellStyle name="ИтогоРесМет" xfId="11"/>
    <cellStyle name="ЛокСмета" xfId="12"/>
    <cellStyle name="ЛокСмМТСН" xfId="13"/>
    <cellStyle name="М29" xfId="14"/>
    <cellStyle name="ОбСмета" xfId="15"/>
    <cellStyle name="Обычный" xfId="0" builtinId="0"/>
    <cellStyle name="Параметр" xfId="16"/>
    <cellStyle name="ПеременныеСметы" xfId="17"/>
    <cellStyle name="РесСмета" xfId="18"/>
    <cellStyle name="СводкаСтоимРаб" xfId="19"/>
    <cellStyle name="СводРасч" xfId="20"/>
    <cellStyle name="Титул" xfId="21"/>
    <cellStyle name="Хвост" xfId="22"/>
    <cellStyle name="Экспертиза" xfId="2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Button" lockText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19050</xdr:colOff>
          <xdr:row>21</xdr:row>
          <xdr:rowOff>895350</xdr:rowOff>
        </xdr:from>
        <xdr:to>
          <xdr:col>1</xdr:col>
          <xdr:colOff>1152525</xdr:colOff>
          <xdr:row>21</xdr:row>
          <xdr:rowOff>1085850</xdr:rowOff>
        </xdr:to>
        <xdr:sp macro="" textlink="">
          <xdr:nvSpPr>
            <xdr:cNvPr id="1053" name="Button 29" hidden="1">
              <a:extLst>
                <a:ext uri="{63B3BB69-23CF-44E3-9099-C40C66FF867C}">
                  <a14:compatExt spid="_x0000_s105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ru-RU" sz="800" b="0" i="0" u="none" strike="noStrike" baseline="0">
                  <a:solidFill>
                    <a:srgbClr val="000000"/>
                  </a:solidFill>
                  <a:latin typeface="Arial Cyr"/>
                  <a:cs typeface="Arial Cyr"/>
                </a:rPr>
                <a:t>Обработка …</a:t>
              </a:r>
            </a:p>
          </xdr:txBody>
        </xdr:sp>
        <xdr:clientData fPrintsWithSheet="0"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omments" Target="../comments1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1">
    <pageSetUpPr fitToPage="1"/>
  </sheetPr>
  <dimension ref="A1:AA90"/>
  <sheetViews>
    <sheetView showGridLines="0" tabSelected="1" zoomScale="120" zoomScaleNormal="120" workbookViewId="0">
      <selection activeCell="A20" sqref="A20"/>
    </sheetView>
  </sheetViews>
  <sheetFormatPr defaultRowHeight="12.75" x14ac:dyDescent="0.2"/>
  <cols>
    <col min="1" max="1" width="5.7109375" style="1" customWidth="1"/>
    <col min="2" max="3" width="29.42578125" style="1" customWidth="1"/>
    <col min="4" max="4" width="21.42578125" style="1" customWidth="1"/>
    <col min="5" max="10" width="22.140625" style="1" hidden="1" customWidth="1"/>
    <col min="11" max="11" width="73.7109375" style="1" customWidth="1"/>
    <col min="12" max="12" width="15" style="1" hidden="1" customWidth="1"/>
    <col min="13" max="13" width="15" style="1" customWidth="1"/>
    <col min="14" max="15" width="10.85546875" style="1" hidden="1" customWidth="1"/>
    <col min="16" max="16" width="13.140625" style="1" customWidth="1"/>
    <col min="17" max="18" width="9.140625" style="1" customWidth="1"/>
    <col min="19" max="26" width="9.140625" style="1"/>
    <col min="27" max="27" width="79.28515625" style="10" customWidth="1"/>
    <col min="28" max="16384" width="9.140625" style="1"/>
  </cols>
  <sheetData>
    <row r="1" spans="1:27" x14ac:dyDescent="0.2">
      <c r="A1" s="53"/>
      <c r="B1" s="53"/>
      <c r="C1" s="53"/>
      <c r="D1" s="53"/>
      <c r="P1" s="9" t="s">
        <v>5</v>
      </c>
    </row>
    <row r="2" spans="1:27" s="44" customFormat="1" ht="12.75" customHeight="1" x14ac:dyDescent="0.2">
      <c r="A2" s="27"/>
      <c r="B2" s="26"/>
      <c r="C2" s="26"/>
      <c r="E2" s="29"/>
      <c r="F2" s="45"/>
      <c r="G2" s="46" t="s">
        <v>5</v>
      </c>
      <c r="H2" s="45"/>
      <c r="I2" s="45"/>
      <c r="J2" s="29"/>
      <c r="S2" s="47"/>
    </row>
    <row r="3" spans="1:27" s="44" customFormat="1" x14ac:dyDescent="0.2">
      <c r="A3" s="27"/>
      <c r="B3" s="26"/>
      <c r="C3" s="26"/>
      <c r="D3" s="48" t="s">
        <v>70</v>
      </c>
      <c r="E3" s="48"/>
      <c r="F3" s="48"/>
      <c r="G3" s="48"/>
      <c r="H3" s="48"/>
      <c r="I3" s="48"/>
      <c r="J3" s="29"/>
      <c r="S3" s="47"/>
    </row>
    <row r="4" spans="1:27" s="44" customFormat="1" x14ac:dyDescent="0.2">
      <c r="A4" s="27"/>
      <c r="B4" s="26"/>
      <c r="C4" s="26"/>
      <c r="D4" s="49" t="s">
        <v>71</v>
      </c>
      <c r="E4" s="49"/>
      <c r="F4" s="49"/>
      <c r="G4" s="49"/>
      <c r="H4" s="49"/>
      <c r="I4" s="49"/>
      <c r="S4" s="47"/>
    </row>
    <row r="5" spans="1:27" s="44" customFormat="1" x14ac:dyDescent="0.2">
      <c r="A5" s="27"/>
      <c r="B5" s="26"/>
      <c r="C5" s="26"/>
      <c r="D5" s="49" t="s">
        <v>72</v>
      </c>
      <c r="E5" s="49"/>
      <c r="F5" s="49"/>
      <c r="G5" s="49"/>
      <c r="H5" s="49"/>
      <c r="I5" s="49"/>
      <c r="S5" s="47"/>
    </row>
    <row r="6" spans="1:27" s="44" customFormat="1" x14ac:dyDescent="0.2">
      <c r="A6" s="27"/>
      <c r="B6" s="26"/>
      <c r="C6" s="26"/>
      <c r="D6" s="29" t="s">
        <v>73</v>
      </c>
      <c r="E6" s="29"/>
      <c r="F6" s="29"/>
      <c r="G6" s="29"/>
      <c r="H6" s="29"/>
      <c r="I6" s="29"/>
      <c r="S6" s="47"/>
    </row>
    <row r="7" spans="1:27" s="44" customFormat="1" x14ac:dyDescent="0.2">
      <c r="A7" s="27"/>
      <c r="B7" s="26"/>
      <c r="C7" s="26"/>
      <c r="D7" s="27"/>
      <c r="S7" s="47"/>
    </row>
    <row r="8" spans="1:27" x14ac:dyDescent="0.2">
      <c r="A8" s="27"/>
      <c r="B8" s="26"/>
      <c r="C8" s="26"/>
      <c r="D8" s="27"/>
      <c r="E8" s="26"/>
      <c r="F8" s="26"/>
      <c r="G8" s="26"/>
      <c r="H8" s="26"/>
      <c r="K8" s="26"/>
      <c r="L8" s="26"/>
      <c r="M8" s="26"/>
      <c r="S8" s="10"/>
      <c r="AA8" s="1"/>
    </row>
    <row r="9" spans="1:27" x14ac:dyDescent="0.2">
      <c r="A9" s="28"/>
      <c r="B9" s="28"/>
      <c r="C9" s="28"/>
      <c r="D9" s="28"/>
      <c r="E9" s="26"/>
      <c r="F9" s="26"/>
      <c r="G9" s="26"/>
      <c r="H9" s="26"/>
      <c r="K9" s="26"/>
      <c r="L9" s="26"/>
      <c r="M9" s="26"/>
      <c r="S9" s="10"/>
      <c r="AA9" s="1"/>
    </row>
    <row r="10" spans="1:27" x14ac:dyDescent="0.2">
      <c r="A10" s="28"/>
      <c r="B10" s="28"/>
      <c r="C10" s="28"/>
      <c r="D10" s="28"/>
      <c r="E10" s="29"/>
      <c r="F10" s="29"/>
      <c r="G10" s="29"/>
      <c r="H10" s="29"/>
      <c r="I10" s="29"/>
      <c r="J10" s="29"/>
      <c r="S10" s="10"/>
      <c r="AA10" s="1"/>
    </row>
    <row r="11" spans="1:27" x14ac:dyDescent="0.2">
      <c r="A11" s="50" t="s">
        <v>2</v>
      </c>
      <c r="B11" s="50"/>
      <c r="C11" s="50"/>
      <c r="D11" s="50"/>
      <c r="E11" s="50"/>
      <c r="F11" s="50"/>
      <c r="G11" s="26"/>
      <c r="H11" s="26"/>
      <c r="S11" s="10"/>
      <c r="AA11" s="1"/>
    </row>
    <row r="12" spans="1:27" x14ac:dyDescent="0.2">
      <c r="A12" s="71" t="s">
        <v>1</v>
      </c>
      <c r="B12" s="71"/>
      <c r="C12" s="71"/>
      <c r="D12" s="71"/>
      <c r="E12" s="71"/>
      <c r="F12" s="71"/>
      <c r="G12" s="26"/>
      <c r="H12" s="26"/>
      <c r="S12" s="10"/>
      <c r="AA12" s="1"/>
    </row>
    <row r="13" spans="1:27" x14ac:dyDescent="0.2">
      <c r="A13" s="26"/>
      <c r="B13" s="26"/>
      <c r="C13" s="26"/>
      <c r="D13" s="26"/>
      <c r="E13" s="26"/>
      <c r="F13" s="26"/>
      <c r="G13" s="26"/>
      <c r="H13" s="26"/>
      <c r="S13" s="10"/>
      <c r="AA13" s="1"/>
    </row>
    <row r="14" spans="1:27" s="30" customFormat="1" x14ac:dyDescent="0.2">
      <c r="A14" s="27" t="s">
        <v>74</v>
      </c>
      <c r="B14" s="27"/>
      <c r="C14" s="27"/>
      <c r="D14" s="27"/>
      <c r="E14" s="27"/>
      <c r="F14" s="27"/>
      <c r="G14" s="27"/>
      <c r="H14" s="27"/>
    </row>
    <row r="15" spans="1:27" x14ac:dyDescent="0.2">
      <c r="A15" s="72" t="s">
        <v>67</v>
      </c>
      <c r="B15" s="72"/>
      <c r="C15" s="31"/>
      <c r="D15" s="32"/>
      <c r="E15" s="26"/>
      <c r="F15" s="26"/>
      <c r="G15" s="26"/>
      <c r="H15" s="26"/>
      <c r="S15" s="10"/>
      <c r="AA15" s="1"/>
    </row>
    <row r="16" spans="1:27" x14ac:dyDescent="0.2">
      <c r="A16" s="73" t="s">
        <v>68</v>
      </c>
      <c r="B16" s="73"/>
      <c r="C16" s="31"/>
      <c r="D16" s="32"/>
      <c r="E16" s="26"/>
      <c r="F16" s="26"/>
      <c r="G16" s="26"/>
      <c r="H16" s="26"/>
      <c r="S16" s="10"/>
      <c r="AA16" s="1"/>
    </row>
    <row r="17" spans="1:27" x14ac:dyDescent="0.2">
      <c r="A17" s="33" t="s">
        <v>69</v>
      </c>
      <c r="B17" s="33"/>
      <c r="C17" s="31"/>
      <c r="D17" s="33"/>
      <c r="E17" s="26"/>
      <c r="F17" s="26"/>
      <c r="G17" s="26"/>
      <c r="H17" s="26"/>
      <c r="S17" s="10"/>
      <c r="AA17" s="1"/>
    </row>
    <row r="18" spans="1:27" s="30" customFormat="1" ht="17.25" customHeight="1" x14ac:dyDescent="0.2">
      <c r="A18" s="27" t="s">
        <v>75</v>
      </c>
      <c r="B18" s="27"/>
      <c r="C18" s="27"/>
      <c r="D18" s="27"/>
      <c r="E18" s="27"/>
      <c r="F18" s="27"/>
      <c r="G18" s="27"/>
      <c r="H18" s="33"/>
    </row>
    <row r="19" spans="1:27" s="30" customFormat="1" ht="17.25" customHeight="1" x14ac:dyDescent="0.2">
      <c r="A19" s="27" t="s">
        <v>76</v>
      </c>
      <c r="B19" s="27"/>
      <c r="C19" s="27"/>
      <c r="D19" s="27"/>
      <c r="E19" s="27"/>
      <c r="F19" s="27"/>
      <c r="G19" s="27"/>
      <c r="H19" s="43"/>
    </row>
    <row r="20" spans="1:27" x14ac:dyDescent="0.2">
      <c r="A20" s="2"/>
      <c r="B20" s="2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4"/>
    </row>
    <row r="21" spans="1:27" s="6" customFormat="1" ht="16.5" customHeight="1" x14ac:dyDescent="0.2">
      <c r="A21" s="51" t="s">
        <v>0</v>
      </c>
      <c r="B21" s="51" t="s">
        <v>3</v>
      </c>
      <c r="C21" s="51" t="s">
        <v>4</v>
      </c>
      <c r="D21" s="51" t="s">
        <v>6</v>
      </c>
      <c r="E21" s="5"/>
      <c r="F21" s="5"/>
      <c r="G21" s="5"/>
      <c r="H21" s="5"/>
      <c r="I21" s="5"/>
      <c r="J21" s="5"/>
      <c r="K21" s="51" t="s">
        <v>62</v>
      </c>
      <c r="L21" s="5"/>
      <c r="M21" s="51" t="s">
        <v>63</v>
      </c>
      <c r="N21" s="60" t="s">
        <v>7</v>
      </c>
      <c r="O21" s="61"/>
      <c r="P21" s="62"/>
    </row>
    <row r="22" spans="1:27" s="6" customFormat="1" ht="87.75" customHeight="1" x14ac:dyDescent="0.2">
      <c r="A22" s="52"/>
      <c r="B22" s="52"/>
      <c r="C22" s="52"/>
      <c r="D22" s="52"/>
      <c r="E22" s="5"/>
      <c r="F22" s="5"/>
      <c r="G22" s="5"/>
      <c r="H22" s="5"/>
      <c r="I22" s="5"/>
      <c r="J22" s="5"/>
      <c r="K22" s="52"/>
      <c r="L22" s="5"/>
      <c r="M22" s="52"/>
      <c r="N22" s="63"/>
      <c r="O22" s="64"/>
      <c r="P22" s="65"/>
    </row>
    <row r="23" spans="1:27" x14ac:dyDescent="0.2">
      <c r="A23" s="11">
        <v>1</v>
      </c>
      <c r="B23" s="11">
        <v>2</v>
      </c>
      <c r="C23" s="11">
        <v>3</v>
      </c>
      <c r="D23" s="11">
        <v>4</v>
      </c>
      <c r="E23" s="11"/>
      <c r="F23" s="11"/>
      <c r="G23" s="11"/>
      <c r="H23" s="11"/>
      <c r="I23" s="11"/>
      <c r="J23" s="11"/>
      <c r="K23" s="11">
        <v>5</v>
      </c>
      <c r="L23" s="11"/>
      <c r="M23" s="11">
        <v>6</v>
      </c>
      <c r="N23" s="11">
        <v>5</v>
      </c>
      <c r="O23" s="11">
        <v>6</v>
      </c>
      <c r="P23" s="11">
        <v>7</v>
      </c>
    </row>
    <row r="24" spans="1:27" s="7" customFormat="1" ht="21" customHeight="1" x14ac:dyDescent="0.2">
      <c r="A24" s="54" t="s">
        <v>8</v>
      </c>
      <c r="B24" s="55"/>
      <c r="C24" s="55"/>
      <c r="D24" s="55"/>
      <c r="E24" s="55"/>
      <c r="F24" s="55"/>
      <c r="G24" s="55"/>
      <c r="H24" s="55"/>
      <c r="I24" s="55"/>
      <c r="J24" s="55"/>
      <c r="K24" s="55"/>
      <c r="L24" s="55"/>
      <c r="M24" s="55"/>
      <c r="N24" s="55"/>
      <c r="O24" s="55"/>
      <c r="P24" s="55"/>
    </row>
    <row r="25" spans="1:27" s="8" customFormat="1" ht="63.75" x14ac:dyDescent="0.2">
      <c r="A25" s="17">
        <v>1</v>
      </c>
      <c r="B25" s="18" t="s">
        <v>9</v>
      </c>
      <c r="C25" s="18" t="s">
        <v>10</v>
      </c>
      <c r="D25" s="19" t="str">
        <f ca="1">IF(INDIRECT("H"&amp;ROW())="",INDIRECT("E"&amp;ROW()),"(" &amp; INDIRECT("H"&amp;ROW())&amp;")")&amp;IF(INDIRECT("F"&amp;ROW())="0", " * 0", IF(INDIRECT("F"&amp;ROW())="", IF(INDIRECT("I"&amp;ROW())=""," "," * "&amp;INDIRECT("I"&amp;ROW())), " * "&amp;INDIRECT("F"&amp;ROW())))&amp;IF(INDIRECT("G"&amp;ROW())="", " ", " * "&amp;INDIRECT("G"&amp;ROW()))</f>
        <v>(14585 / 100) * 24.65 * 1,1*0,75*0,1177</v>
      </c>
      <c r="E25" s="20">
        <f>IF( 145.85 = "","0",145.85)</f>
        <v>145.85</v>
      </c>
      <c r="F25" s="20" t="str">
        <f ca="1">IF(INDIRECT("J" &amp; ROW())="текущие цены", IF(INDIRECT("G" &amp; ROW())="", "0", "0"), IF(INDIRECT("G" &amp; ROW())="", "2.39","24.65"))</f>
        <v>24.65</v>
      </c>
      <c r="G25" s="20" t="s">
        <v>11</v>
      </c>
      <c r="H25" s="20" t="s">
        <v>12</v>
      </c>
      <c r="I25" s="20"/>
      <c r="J25" s="20" t="s">
        <v>13</v>
      </c>
      <c r="K25" s="20" t="s">
        <v>14</v>
      </c>
      <c r="L25" s="20">
        <v>1</v>
      </c>
      <c r="M25" s="20" t="s">
        <v>15</v>
      </c>
      <c r="N25" s="21">
        <f ca="1">IF(ISNUMBER(INDIRECT("P" &amp; ROW())), INDIRECT("P" &amp; ROW())*0.4, " ")</f>
        <v>139.6</v>
      </c>
      <c r="O25" s="21">
        <f ca="1">IF(ISNUMBER(INDIRECT("P" &amp; ROW())), INDIRECT("P" &amp; ROW())*0.6, " ")</f>
        <v>209.4</v>
      </c>
      <c r="P25" s="21">
        <f ca="1">IF(INDIRECT("J" &amp; ROW())="текущие цены", 0, 349)</f>
        <v>349</v>
      </c>
      <c r="Q25" s="7"/>
      <c r="R25" s="7"/>
      <c r="S25" s="7"/>
      <c r="T25" s="7"/>
      <c r="U25" s="7"/>
      <c r="AA25" s="7"/>
    </row>
    <row r="26" spans="1:27" x14ac:dyDescent="0.2">
      <c r="A26" s="56" t="s">
        <v>16</v>
      </c>
      <c r="B26" s="57"/>
      <c r="C26" s="57"/>
      <c r="D26" s="57"/>
      <c r="E26" s="57"/>
      <c r="F26" s="57"/>
      <c r="G26" s="57"/>
      <c r="H26" s="57"/>
      <c r="I26" s="57"/>
      <c r="J26" s="57"/>
      <c r="K26" s="57"/>
      <c r="L26" s="57"/>
      <c r="M26" s="57"/>
      <c r="N26" s="16">
        <f t="shared" ref="N26:N32" ca="1" si="0">IF(ISNUMBER(INDIRECT("P" &amp; ROW())), INDIRECT("P" &amp; ROW()) * 0.4, " ")</f>
        <v>139.6</v>
      </c>
      <c r="O26" s="16">
        <f t="shared" ref="O26:O32" ca="1" si="1">IF(ISNUMBER(INDIRECT("P" &amp; ROW())), INDIRECT("P" &amp; ROW()) * 0.6, " ")</f>
        <v>209.4</v>
      </c>
      <c r="P26" s="16">
        <v>349</v>
      </c>
      <c r="Q26" s="7"/>
      <c r="R26" s="7"/>
      <c r="S26" s="7"/>
      <c r="T26" s="7"/>
      <c r="U26" s="7"/>
    </row>
    <row r="27" spans="1:27" x14ac:dyDescent="0.2">
      <c r="A27" s="58" t="s">
        <v>17</v>
      </c>
      <c r="B27" s="59"/>
      <c r="C27" s="59"/>
      <c r="D27" s="59"/>
      <c r="E27" s="59"/>
      <c r="F27" s="59"/>
      <c r="G27" s="59"/>
      <c r="H27" s="59"/>
      <c r="I27" s="59"/>
      <c r="J27" s="59"/>
      <c r="K27" s="59"/>
      <c r="L27" s="59"/>
      <c r="M27" s="59"/>
      <c r="N27" s="22" t="str">
        <f t="shared" ca="1" si="0"/>
        <v xml:space="preserve"> </v>
      </c>
      <c r="O27" s="22" t="str">
        <f t="shared" ca="1" si="1"/>
        <v xml:space="preserve"> </v>
      </c>
      <c r="P27" s="22"/>
      <c r="Q27" s="7"/>
      <c r="R27" s="7"/>
      <c r="S27" s="7"/>
      <c r="T27" s="7"/>
      <c r="U27" s="7"/>
    </row>
    <row r="28" spans="1:27" ht="27.95" customHeight="1" x14ac:dyDescent="0.2">
      <c r="A28" s="56" t="s">
        <v>18</v>
      </c>
      <c r="B28" s="57"/>
      <c r="C28" s="57"/>
      <c r="D28" s="57"/>
      <c r="E28" s="57"/>
      <c r="F28" s="57"/>
      <c r="G28" s="57"/>
      <c r="H28" s="57"/>
      <c r="I28" s="57"/>
      <c r="J28" s="57"/>
      <c r="K28" s="57"/>
      <c r="L28" s="57"/>
      <c r="M28" s="57"/>
      <c r="N28" s="16">
        <f t="shared" ca="1" si="0"/>
        <v>139.6</v>
      </c>
      <c r="O28" s="16">
        <f t="shared" ca="1" si="1"/>
        <v>209.4</v>
      </c>
      <c r="P28" s="16">
        <v>349</v>
      </c>
      <c r="Q28" s="7"/>
      <c r="R28" s="7"/>
      <c r="S28" s="7"/>
      <c r="T28" s="7"/>
      <c r="U28" s="7"/>
    </row>
    <row r="29" spans="1:27" x14ac:dyDescent="0.2">
      <c r="A29" s="56" t="s">
        <v>19</v>
      </c>
      <c r="B29" s="57"/>
      <c r="C29" s="57"/>
      <c r="D29" s="57"/>
      <c r="E29" s="57"/>
      <c r="F29" s="57"/>
      <c r="G29" s="57"/>
      <c r="H29" s="57"/>
      <c r="I29" s="57"/>
      <c r="J29" s="57"/>
      <c r="K29" s="57"/>
      <c r="L29" s="57"/>
      <c r="M29" s="57"/>
      <c r="N29" s="16">
        <f t="shared" ca="1" si="0"/>
        <v>139.6</v>
      </c>
      <c r="O29" s="16">
        <f t="shared" ca="1" si="1"/>
        <v>209.4</v>
      </c>
      <c r="P29" s="16">
        <v>349</v>
      </c>
      <c r="Q29" s="7"/>
      <c r="R29" s="7"/>
      <c r="S29" s="7"/>
      <c r="T29" s="7"/>
      <c r="U29" s="7"/>
    </row>
    <row r="30" spans="1:27" ht="27.95" customHeight="1" x14ac:dyDescent="0.2">
      <c r="A30" s="56" t="s">
        <v>20</v>
      </c>
      <c r="B30" s="57"/>
      <c r="C30" s="57"/>
      <c r="D30" s="57"/>
      <c r="E30" s="57"/>
      <c r="F30" s="57"/>
      <c r="G30" s="57"/>
      <c r="H30" s="57"/>
      <c r="I30" s="57"/>
      <c r="J30" s="57"/>
      <c r="K30" s="57"/>
      <c r="L30" s="57"/>
      <c r="M30" s="57"/>
      <c r="N30" s="16">
        <f t="shared" ca="1" si="0"/>
        <v>4211.6000000000004</v>
      </c>
      <c r="O30" s="16">
        <f t="shared" ca="1" si="1"/>
        <v>6317.4</v>
      </c>
      <c r="P30" s="16">
        <v>10529</v>
      </c>
      <c r="Q30" s="7"/>
      <c r="R30" s="7"/>
      <c r="S30" s="7"/>
      <c r="T30" s="7"/>
      <c r="U30" s="7"/>
    </row>
    <row r="31" spans="1:27" x14ac:dyDescent="0.2">
      <c r="A31" s="56" t="s">
        <v>21</v>
      </c>
      <c r="B31" s="57"/>
      <c r="C31" s="57"/>
      <c r="D31" s="57"/>
      <c r="E31" s="57"/>
      <c r="F31" s="57"/>
      <c r="G31" s="57"/>
      <c r="H31" s="57"/>
      <c r="I31" s="57"/>
      <c r="J31" s="57"/>
      <c r="K31" s="57"/>
      <c r="L31" s="57"/>
      <c r="M31" s="57"/>
      <c r="N31" s="16" t="str">
        <f t="shared" ca="1" si="0"/>
        <v xml:space="preserve"> </v>
      </c>
      <c r="O31" s="16" t="str">
        <f t="shared" ca="1" si="1"/>
        <v xml:space="preserve"> </v>
      </c>
      <c r="P31" s="16"/>
      <c r="Q31" s="7"/>
      <c r="R31" s="7"/>
      <c r="S31" s="7"/>
      <c r="T31" s="7"/>
      <c r="U31" s="7"/>
    </row>
    <row r="32" spans="1:27" x14ac:dyDescent="0.2">
      <c r="A32" s="66" t="s">
        <v>22</v>
      </c>
      <c r="B32" s="67"/>
      <c r="C32" s="67"/>
      <c r="D32" s="67"/>
      <c r="E32" s="67"/>
      <c r="F32" s="67"/>
      <c r="G32" s="67"/>
      <c r="H32" s="67"/>
      <c r="I32" s="67"/>
      <c r="J32" s="67"/>
      <c r="K32" s="67"/>
      <c r="L32" s="67"/>
      <c r="M32" s="67"/>
      <c r="N32" s="23">
        <f t="shared" ca="1" si="0"/>
        <v>4211.6000000000004</v>
      </c>
      <c r="O32" s="23">
        <f t="shared" ca="1" si="1"/>
        <v>6317.4</v>
      </c>
      <c r="P32" s="23">
        <v>10529</v>
      </c>
      <c r="Q32" s="7"/>
      <c r="R32" s="7"/>
      <c r="S32" s="7"/>
      <c r="T32" s="7"/>
      <c r="U32" s="7"/>
    </row>
    <row r="33" spans="1:21" ht="21" customHeight="1" x14ac:dyDescent="0.2">
      <c r="A33" s="54" t="s">
        <v>23</v>
      </c>
      <c r="B33" s="55"/>
      <c r="C33" s="55"/>
      <c r="D33" s="55"/>
      <c r="E33" s="55"/>
      <c r="F33" s="55"/>
      <c r="G33" s="55"/>
      <c r="H33" s="55"/>
      <c r="I33" s="55"/>
      <c r="J33" s="55"/>
      <c r="K33" s="55"/>
      <c r="L33" s="55"/>
      <c r="M33" s="55"/>
      <c r="N33" s="55"/>
      <c r="O33" s="55"/>
      <c r="P33" s="55"/>
      <c r="Q33" s="7"/>
      <c r="R33" s="7"/>
      <c r="S33" s="7"/>
      <c r="T33" s="7"/>
      <c r="U33" s="7"/>
    </row>
    <row r="34" spans="1:21" ht="76.5" x14ac:dyDescent="0.2">
      <c r="A34" s="17">
        <v>2</v>
      </c>
      <c r="B34" s="18" t="s">
        <v>24</v>
      </c>
      <c r="C34" s="18" t="s">
        <v>25</v>
      </c>
      <c r="D34" s="19" t="str">
        <f ca="1">IF(INDIRECT("H"&amp;ROW())="",INDIRECT("E"&amp;ROW()),"(" &amp; INDIRECT("H"&amp;ROW())&amp;")")&amp;IF(INDIRECT("F"&amp;ROW())="0", " * 0", IF(INDIRECT("F"&amp;ROW())="", IF(INDIRECT("I"&amp;ROW())=""," "," * "&amp;INDIRECT("I"&amp;ROW())), " * "&amp;INDIRECT("F"&amp;ROW())))&amp;IF(INDIRECT("G"&amp;ROW())="", " ", " * "&amp;INDIRECT("G"&amp;ROW()))</f>
        <v>(14585 / 100) * 24.75 * 1,1*0,034</v>
      </c>
      <c r="E34" s="20">
        <f>IF( 145.85 = "","0",145.85)</f>
        <v>145.85</v>
      </c>
      <c r="F34" s="20" t="str">
        <f ca="1">IF(INDIRECT("J" &amp; ROW())="текущие цены", IF(INDIRECT("G" &amp; ROW())="", "0", "0"), IF(INDIRECT("G" &amp; ROW())="", "0.93","24.75"))</f>
        <v>24.75</v>
      </c>
      <c r="G34" s="20" t="s">
        <v>26</v>
      </c>
      <c r="H34" s="20" t="s">
        <v>12</v>
      </c>
      <c r="I34" s="20"/>
      <c r="J34" s="20" t="s">
        <v>13</v>
      </c>
      <c r="K34" s="20" t="s">
        <v>27</v>
      </c>
      <c r="L34" s="20">
        <v>2</v>
      </c>
      <c r="M34" s="20" t="s">
        <v>15</v>
      </c>
      <c r="N34" s="21">
        <f ca="1">IF(ISNUMBER(INDIRECT("P" &amp; ROW())), INDIRECT("P" &amp; ROW())*0.4, " ")</f>
        <v>54.400000000000006</v>
      </c>
      <c r="O34" s="21">
        <f ca="1">IF(ISNUMBER(INDIRECT("P" &amp; ROW())), INDIRECT("P" &amp; ROW())*0.6, " ")</f>
        <v>81.599999999999994</v>
      </c>
      <c r="P34" s="21">
        <f ca="1">IF(INDIRECT("J" &amp; ROW())="текущие цены", 0, 136)</f>
        <v>136</v>
      </c>
      <c r="Q34" s="7"/>
      <c r="R34" s="7"/>
      <c r="S34" s="7"/>
      <c r="T34" s="7"/>
      <c r="U34" s="7"/>
    </row>
    <row r="35" spans="1:21" x14ac:dyDescent="0.2">
      <c r="A35" s="56" t="s">
        <v>16</v>
      </c>
      <c r="B35" s="57"/>
      <c r="C35" s="57"/>
      <c r="D35" s="57"/>
      <c r="E35" s="57"/>
      <c r="F35" s="57"/>
      <c r="G35" s="57"/>
      <c r="H35" s="57"/>
      <c r="I35" s="57"/>
      <c r="J35" s="57"/>
      <c r="K35" s="57"/>
      <c r="L35" s="57"/>
      <c r="M35" s="57"/>
      <c r="N35" s="16">
        <f t="shared" ref="N35:N41" ca="1" si="2">IF(ISNUMBER(INDIRECT("P" &amp; ROW())), INDIRECT("P" &amp; ROW()) * 0.4, " ")</f>
        <v>54.400000000000006</v>
      </c>
      <c r="O35" s="16">
        <f t="shared" ref="O35:O41" ca="1" si="3">IF(ISNUMBER(INDIRECT("P" &amp; ROW())), INDIRECT("P" &amp; ROW()) * 0.6, " ")</f>
        <v>81.599999999999994</v>
      </c>
      <c r="P35" s="16">
        <v>136</v>
      </c>
      <c r="Q35" s="7"/>
      <c r="R35" s="7"/>
      <c r="S35" s="7"/>
      <c r="T35" s="7"/>
      <c r="U35" s="7"/>
    </row>
    <row r="36" spans="1:21" x14ac:dyDescent="0.2">
      <c r="A36" s="58" t="s">
        <v>28</v>
      </c>
      <c r="B36" s="59"/>
      <c r="C36" s="59"/>
      <c r="D36" s="59"/>
      <c r="E36" s="59"/>
      <c r="F36" s="59"/>
      <c r="G36" s="59"/>
      <c r="H36" s="59"/>
      <c r="I36" s="59"/>
      <c r="J36" s="59"/>
      <c r="K36" s="59"/>
      <c r="L36" s="59"/>
      <c r="M36" s="59"/>
      <c r="N36" s="22" t="str">
        <f t="shared" ca="1" si="2"/>
        <v xml:space="preserve"> </v>
      </c>
      <c r="O36" s="22" t="str">
        <f t="shared" ca="1" si="3"/>
        <v xml:space="preserve"> </v>
      </c>
      <c r="P36" s="22"/>
      <c r="Q36" s="7"/>
      <c r="R36" s="7"/>
      <c r="S36" s="7"/>
      <c r="T36" s="7"/>
      <c r="U36" s="7"/>
    </row>
    <row r="37" spans="1:21" ht="27.95" customHeight="1" x14ac:dyDescent="0.2">
      <c r="A37" s="56" t="s">
        <v>18</v>
      </c>
      <c r="B37" s="57"/>
      <c r="C37" s="57"/>
      <c r="D37" s="57"/>
      <c r="E37" s="57"/>
      <c r="F37" s="57"/>
      <c r="G37" s="57"/>
      <c r="H37" s="57"/>
      <c r="I37" s="57"/>
      <c r="J37" s="57"/>
      <c r="K37" s="57"/>
      <c r="L37" s="57"/>
      <c r="M37" s="57"/>
      <c r="N37" s="16">
        <f t="shared" ca="1" si="2"/>
        <v>54.400000000000006</v>
      </c>
      <c r="O37" s="16">
        <f t="shared" ca="1" si="3"/>
        <v>81.599999999999994</v>
      </c>
      <c r="P37" s="16">
        <v>136</v>
      </c>
      <c r="Q37" s="7"/>
      <c r="R37" s="7"/>
      <c r="S37" s="7"/>
      <c r="T37" s="7"/>
      <c r="U37" s="7"/>
    </row>
    <row r="38" spans="1:21" x14ac:dyDescent="0.2">
      <c r="A38" s="56" t="s">
        <v>19</v>
      </c>
      <c r="B38" s="57"/>
      <c r="C38" s="57"/>
      <c r="D38" s="57"/>
      <c r="E38" s="57"/>
      <c r="F38" s="57"/>
      <c r="G38" s="57"/>
      <c r="H38" s="57"/>
      <c r="I38" s="57"/>
      <c r="J38" s="57"/>
      <c r="K38" s="57"/>
      <c r="L38" s="57"/>
      <c r="M38" s="57"/>
      <c r="N38" s="16">
        <f t="shared" ca="1" si="2"/>
        <v>54.400000000000006</v>
      </c>
      <c r="O38" s="16">
        <f t="shared" ca="1" si="3"/>
        <v>81.599999999999994</v>
      </c>
      <c r="P38" s="16">
        <v>136</v>
      </c>
      <c r="Q38" s="7"/>
      <c r="R38" s="7"/>
      <c r="S38" s="7"/>
      <c r="T38" s="7"/>
      <c r="U38" s="7"/>
    </row>
    <row r="39" spans="1:21" ht="27.95" customHeight="1" x14ac:dyDescent="0.2">
      <c r="A39" s="56" t="s">
        <v>20</v>
      </c>
      <c r="B39" s="57"/>
      <c r="C39" s="57"/>
      <c r="D39" s="57"/>
      <c r="E39" s="57"/>
      <c r="F39" s="57"/>
      <c r="G39" s="57"/>
      <c r="H39" s="57"/>
      <c r="I39" s="57"/>
      <c r="J39" s="57"/>
      <c r="K39" s="57"/>
      <c r="L39" s="57"/>
      <c r="M39" s="57"/>
      <c r="N39" s="16">
        <f t="shared" ca="1" si="2"/>
        <v>1641.2</v>
      </c>
      <c r="O39" s="16">
        <f t="shared" ca="1" si="3"/>
        <v>2461.7999999999997</v>
      </c>
      <c r="P39" s="16">
        <v>4103</v>
      </c>
      <c r="Q39" s="7"/>
      <c r="R39" s="7"/>
      <c r="S39" s="7"/>
      <c r="T39" s="7"/>
      <c r="U39" s="7"/>
    </row>
    <row r="40" spans="1:21" x14ac:dyDescent="0.2">
      <c r="A40" s="56" t="s">
        <v>21</v>
      </c>
      <c r="B40" s="57"/>
      <c r="C40" s="57"/>
      <c r="D40" s="57"/>
      <c r="E40" s="57"/>
      <c r="F40" s="57"/>
      <c r="G40" s="57"/>
      <c r="H40" s="57"/>
      <c r="I40" s="57"/>
      <c r="J40" s="57"/>
      <c r="K40" s="57"/>
      <c r="L40" s="57"/>
      <c r="M40" s="57"/>
      <c r="N40" s="16" t="str">
        <f t="shared" ca="1" si="2"/>
        <v xml:space="preserve"> </v>
      </c>
      <c r="O40" s="16" t="str">
        <f t="shared" ca="1" si="3"/>
        <v xml:space="preserve"> </v>
      </c>
      <c r="P40" s="16"/>
      <c r="Q40" s="7"/>
      <c r="R40" s="7"/>
      <c r="S40" s="7"/>
      <c r="T40" s="7"/>
      <c r="U40" s="7"/>
    </row>
    <row r="41" spans="1:21" x14ac:dyDescent="0.2">
      <c r="A41" s="66" t="s">
        <v>29</v>
      </c>
      <c r="B41" s="67"/>
      <c r="C41" s="67"/>
      <c r="D41" s="67"/>
      <c r="E41" s="67"/>
      <c r="F41" s="67"/>
      <c r="G41" s="67"/>
      <c r="H41" s="67"/>
      <c r="I41" s="67"/>
      <c r="J41" s="67"/>
      <c r="K41" s="67"/>
      <c r="L41" s="67"/>
      <c r="M41" s="67"/>
      <c r="N41" s="23">
        <f t="shared" ca="1" si="2"/>
        <v>1641.2</v>
      </c>
      <c r="O41" s="23">
        <f t="shared" ca="1" si="3"/>
        <v>2461.7999999999997</v>
      </c>
      <c r="P41" s="23">
        <v>4103</v>
      </c>
      <c r="Q41" s="7"/>
      <c r="R41" s="7"/>
      <c r="S41" s="7"/>
      <c r="T41" s="7"/>
      <c r="U41" s="7"/>
    </row>
    <row r="42" spans="1:21" ht="21" customHeight="1" x14ac:dyDescent="0.2">
      <c r="A42" s="54" t="s">
        <v>30</v>
      </c>
      <c r="B42" s="55"/>
      <c r="C42" s="55"/>
      <c r="D42" s="55"/>
      <c r="E42" s="55"/>
      <c r="F42" s="55"/>
      <c r="G42" s="55"/>
      <c r="H42" s="55"/>
      <c r="I42" s="55"/>
      <c r="J42" s="55"/>
      <c r="K42" s="55"/>
      <c r="L42" s="55"/>
      <c r="M42" s="55"/>
      <c r="N42" s="55"/>
      <c r="O42" s="55"/>
      <c r="P42" s="55"/>
      <c r="Q42" s="7"/>
      <c r="R42" s="7"/>
      <c r="S42" s="7"/>
      <c r="T42" s="7"/>
      <c r="U42" s="7"/>
    </row>
    <row r="43" spans="1:21" ht="63.75" x14ac:dyDescent="0.2">
      <c r="A43" s="12">
        <v>3</v>
      </c>
      <c r="B43" s="13" t="s">
        <v>31</v>
      </c>
      <c r="C43" s="13" t="s">
        <v>32</v>
      </c>
      <c r="D43" s="14" t="str">
        <f ca="1">IF(INDIRECT("H"&amp;ROW())="",INDIRECT("E"&amp;ROW()),"(" &amp; INDIRECT("H"&amp;ROW())&amp;")")&amp;IF(INDIRECT("F"&amp;ROW())="0", " * 0", IF(INDIRECT("F"&amp;ROW())="", IF(INDIRECT("I"&amp;ROW())=""," "," * "&amp;INDIRECT("I"&amp;ROW())), " * "&amp;INDIRECT("F"&amp;ROW())))&amp;IF(INDIRECT("G"&amp;ROW())="", " ", " * "&amp;INDIRECT("G"&amp;ROW()))</f>
        <v>1 * 275000 * 0,021*1,1</v>
      </c>
      <c r="E43" s="15">
        <f>IF( 1 = "","0",1)</f>
        <v>1</v>
      </c>
      <c r="F43" s="15" t="str">
        <f ca="1">IF(INDIRECT("J" &amp; ROW())="текущие цены", IF(INDIRECT("G" &amp; ROW())="", "0", "0"), IF(INDIRECT("G" &amp; ROW())="", "6352.5","275000"))</f>
        <v>275000</v>
      </c>
      <c r="G43" s="15" t="s">
        <v>33</v>
      </c>
      <c r="H43" s="15"/>
      <c r="I43" s="15"/>
      <c r="J43" s="15" t="s">
        <v>13</v>
      </c>
      <c r="K43" s="15" t="s">
        <v>34</v>
      </c>
      <c r="L43" s="15">
        <v>3</v>
      </c>
      <c r="M43" s="15" t="s">
        <v>35</v>
      </c>
      <c r="N43" s="16">
        <f ca="1">IF(ISNUMBER(INDIRECT("P" &amp; ROW())), INDIRECT("P" &amp; ROW())*0.4, " ")</f>
        <v>2541.2000000000003</v>
      </c>
      <c r="O43" s="16">
        <f ca="1">IF(ISNUMBER(INDIRECT("P" &amp; ROW())), INDIRECT("P" &amp; ROW())*0.6, " ")</f>
        <v>3811.7999999999997</v>
      </c>
      <c r="P43" s="16">
        <f ca="1">IF(INDIRECT("J" &amp; ROW())="текущие цены", 0, 6353)</f>
        <v>6353</v>
      </c>
      <c r="Q43" s="7"/>
      <c r="R43" s="7"/>
      <c r="S43" s="7"/>
      <c r="T43" s="7"/>
      <c r="U43" s="7"/>
    </row>
    <row r="44" spans="1:21" ht="63.75" x14ac:dyDescent="0.2">
      <c r="A44" s="17">
        <v>4</v>
      </c>
      <c r="B44" s="18" t="s">
        <v>31</v>
      </c>
      <c r="C44" s="18" t="s">
        <v>36</v>
      </c>
      <c r="D44" s="19" t="str">
        <f ca="1">IF(INDIRECT("H"&amp;ROW())="",INDIRECT("E"&amp;ROW()),"(" &amp; INDIRECT("H"&amp;ROW())&amp;")")&amp;IF(INDIRECT("F"&amp;ROW())="0", " * 0", IF(INDIRECT("F"&amp;ROW())="", IF(INDIRECT("I"&amp;ROW())=""," "," * "&amp;INDIRECT("I"&amp;ROW())), " * "&amp;INDIRECT("F"&amp;ROW())))&amp;IF(INDIRECT("G"&amp;ROW())="", " ", " * "&amp;INDIRECT("G"&amp;ROW()))</f>
        <v>14585 * 6 * 1,1*0,021</v>
      </c>
      <c r="E44" s="20">
        <f>IF( 14585 = "","0",14585)</f>
        <v>14585</v>
      </c>
      <c r="F44" s="20" t="str">
        <f ca="1">IF(INDIRECT("J" &amp; ROW())="текущие цены", IF(INDIRECT("G" &amp; ROW())="", "0", "0"), IF(INDIRECT("G" &amp; ROW())="", "0.14","6"))</f>
        <v>6</v>
      </c>
      <c r="G44" s="20" t="s">
        <v>37</v>
      </c>
      <c r="H44" s="20"/>
      <c r="I44" s="20"/>
      <c r="J44" s="20" t="s">
        <v>13</v>
      </c>
      <c r="K44" s="20" t="s">
        <v>38</v>
      </c>
      <c r="L44" s="20">
        <v>3</v>
      </c>
      <c r="M44" s="20" t="s">
        <v>39</v>
      </c>
      <c r="N44" s="21">
        <f ca="1">IF(ISNUMBER(INDIRECT("P" &amp; ROW())), INDIRECT("P" &amp; ROW())*0.4, " ")</f>
        <v>816.80000000000007</v>
      </c>
      <c r="O44" s="21">
        <f ca="1">IF(ISNUMBER(INDIRECT("P" &amp; ROW())), INDIRECT("P" &amp; ROW())*0.6, " ")</f>
        <v>1225.2</v>
      </c>
      <c r="P44" s="21">
        <f ca="1">IF(INDIRECT("J" &amp; ROW())="текущие цены", 0, 2042)</f>
        <v>2042</v>
      </c>
      <c r="Q44" s="7"/>
      <c r="R44" s="7"/>
      <c r="S44" s="7"/>
      <c r="T44" s="7"/>
      <c r="U44" s="7"/>
    </row>
    <row r="45" spans="1:21" x14ac:dyDescent="0.2">
      <c r="A45" s="56" t="s">
        <v>16</v>
      </c>
      <c r="B45" s="57"/>
      <c r="C45" s="57"/>
      <c r="D45" s="57"/>
      <c r="E45" s="57"/>
      <c r="F45" s="57"/>
      <c r="G45" s="57"/>
      <c r="H45" s="57"/>
      <c r="I45" s="57"/>
      <c r="J45" s="57"/>
      <c r="K45" s="57"/>
      <c r="L45" s="57"/>
      <c r="M45" s="57"/>
      <c r="N45" s="16">
        <f t="shared" ref="N45:N51" ca="1" si="4">IF(ISNUMBER(INDIRECT("P" &amp; ROW())), INDIRECT("P" &amp; ROW()) * 0.4, " ")</f>
        <v>3358</v>
      </c>
      <c r="O45" s="16">
        <f t="shared" ref="O45:O51" ca="1" si="5">IF(ISNUMBER(INDIRECT("P" &amp; ROW())), INDIRECT("P" &amp; ROW()) * 0.6, " ")</f>
        <v>5037</v>
      </c>
      <c r="P45" s="16">
        <v>8395</v>
      </c>
      <c r="Q45" s="7"/>
      <c r="R45" s="7"/>
      <c r="S45" s="7"/>
      <c r="T45" s="7"/>
      <c r="U45" s="7"/>
    </row>
    <row r="46" spans="1:21" x14ac:dyDescent="0.2">
      <c r="A46" s="58" t="s">
        <v>40</v>
      </c>
      <c r="B46" s="59"/>
      <c r="C46" s="59"/>
      <c r="D46" s="59"/>
      <c r="E46" s="59"/>
      <c r="F46" s="59"/>
      <c r="G46" s="59"/>
      <c r="H46" s="59"/>
      <c r="I46" s="59"/>
      <c r="J46" s="59"/>
      <c r="K46" s="59"/>
      <c r="L46" s="59"/>
      <c r="M46" s="59"/>
      <c r="N46" s="22" t="str">
        <f t="shared" ca="1" si="4"/>
        <v xml:space="preserve"> </v>
      </c>
      <c r="O46" s="22" t="str">
        <f t="shared" ca="1" si="5"/>
        <v xml:space="preserve"> </v>
      </c>
      <c r="P46" s="22"/>
      <c r="Q46" s="7"/>
      <c r="R46" s="7"/>
      <c r="S46" s="7"/>
      <c r="T46" s="7"/>
      <c r="U46" s="7"/>
    </row>
    <row r="47" spans="1:21" ht="27.95" customHeight="1" x14ac:dyDescent="0.2">
      <c r="A47" s="56" t="s">
        <v>41</v>
      </c>
      <c r="B47" s="57"/>
      <c r="C47" s="57"/>
      <c r="D47" s="57"/>
      <c r="E47" s="57"/>
      <c r="F47" s="57"/>
      <c r="G47" s="57"/>
      <c r="H47" s="57"/>
      <c r="I47" s="57"/>
      <c r="J47" s="57"/>
      <c r="K47" s="57"/>
      <c r="L47" s="57"/>
      <c r="M47" s="57"/>
      <c r="N47" s="16">
        <f t="shared" ca="1" si="4"/>
        <v>3358</v>
      </c>
      <c r="O47" s="16">
        <f t="shared" ca="1" si="5"/>
        <v>5037</v>
      </c>
      <c r="P47" s="16">
        <v>8395</v>
      </c>
      <c r="Q47" s="7"/>
      <c r="R47" s="7"/>
      <c r="S47" s="7"/>
      <c r="T47" s="7"/>
      <c r="U47" s="7"/>
    </row>
    <row r="48" spans="1:21" x14ac:dyDescent="0.2">
      <c r="A48" s="56" t="s">
        <v>19</v>
      </c>
      <c r="B48" s="57"/>
      <c r="C48" s="57"/>
      <c r="D48" s="57"/>
      <c r="E48" s="57"/>
      <c r="F48" s="57"/>
      <c r="G48" s="57"/>
      <c r="H48" s="57"/>
      <c r="I48" s="57"/>
      <c r="J48" s="57"/>
      <c r="K48" s="57"/>
      <c r="L48" s="57"/>
      <c r="M48" s="57"/>
      <c r="N48" s="16">
        <f t="shared" ca="1" si="4"/>
        <v>3358</v>
      </c>
      <c r="O48" s="16">
        <f t="shared" ca="1" si="5"/>
        <v>5037</v>
      </c>
      <c r="P48" s="16">
        <v>8395</v>
      </c>
      <c r="Q48" s="7"/>
      <c r="R48" s="7"/>
      <c r="S48" s="7"/>
      <c r="T48" s="7"/>
      <c r="U48" s="7"/>
    </row>
    <row r="49" spans="1:21" ht="27.95" customHeight="1" x14ac:dyDescent="0.2">
      <c r="A49" s="56" t="s">
        <v>42</v>
      </c>
      <c r="B49" s="57"/>
      <c r="C49" s="57"/>
      <c r="D49" s="57"/>
      <c r="E49" s="57"/>
      <c r="F49" s="57"/>
      <c r="G49" s="57"/>
      <c r="H49" s="57"/>
      <c r="I49" s="57"/>
      <c r="J49" s="57"/>
      <c r="K49" s="57"/>
      <c r="L49" s="57"/>
      <c r="M49" s="57"/>
      <c r="N49" s="16">
        <f t="shared" ca="1" si="4"/>
        <v>13163.2</v>
      </c>
      <c r="O49" s="16">
        <f t="shared" ca="1" si="5"/>
        <v>19744.8</v>
      </c>
      <c r="P49" s="16">
        <v>32908</v>
      </c>
      <c r="Q49" s="7"/>
      <c r="R49" s="7"/>
      <c r="S49" s="7"/>
      <c r="T49" s="7"/>
      <c r="U49" s="7"/>
    </row>
    <row r="50" spans="1:21" x14ac:dyDescent="0.2">
      <c r="A50" s="56" t="s">
        <v>21</v>
      </c>
      <c r="B50" s="57"/>
      <c r="C50" s="57"/>
      <c r="D50" s="57"/>
      <c r="E50" s="57"/>
      <c r="F50" s="57"/>
      <c r="G50" s="57"/>
      <c r="H50" s="57"/>
      <c r="I50" s="57"/>
      <c r="J50" s="57"/>
      <c r="K50" s="57"/>
      <c r="L50" s="57"/>
      <c r="M50" s="57"/>
      <c r="N50" s="16" t="str">
        <f t="shared" ca="1" si="4"/>
        <v xml:space="preserve"> </v>
      </c>
      <c r="O50" s="16" t="str">
        <f t="shared" ca="1" si="5"/>
        <v xml:space="preserve"> </v>
      </c>
      <c r="P50" s="16"/>
      <c r="Q50" s="7"/>
      <c r="R50" s="7"/>
      <c r="S50" s="7"/>
      <c r="T50" s="7"/>
      <c r="U50" s="7"/>
    </row>
    <row r="51" spans="1:21" x14ac:dyDescent="0.2">
      <c r="A51" s="66" t="s">
        <v>43</v>
      </c>
      <c r="B51" s="67"/>
      <c r="C51" s="67"/>
      <c r="D51" s="67"/>
      <c r="E51" s="67"/>
      <c r="F51" s="67"/>
      <c r="G51" s="67"/>
      <c r="H51" s="67"/>
      <c r="I51" s="67"/>
      <c r="J51" s="67"/>
      <c r="K51" s="67"/>
      <c r="L51" s="67"/>
      <c r="M51" s="67"/>
      <c r="N51" s="23">
        <f t="shared" ca="1" si="4"/>
        <v>13163.2</v>
      </c>
      <c r="O51" s="23">
        <f t="shared" ca="1" si="5"/>
        <v>19744.8</v>
      </c>
      <c r="P51" s="23">
        <v>32908</v>
      </c>
      <c r="Q51" s="7"/>
      <c r="R51" s="7"/>
      <c r="S51" s="7"/>
      <c r="T51" s="7"/>
      <c r="U51" s="7"/>
    </row>
    <row r="52" spans="1:21" ht="21" customHeight="1" x14ac:dyDescent="0.2">
      <c r="A52" s="54" t="s">
        <v>44</v>
      </c>
      <c r="B52" s="55"/>
      <c r="C52" s="55"/>
      <c r="D52" s="55"/>
      <c r="E52" s="55"/>
      <c r="F52" s="55"/>
      <c r="G52" s="55"/>
      <c r="H52" s="55"/>
      <c r="I52" s="55"/>
      <c r="J52" s="55"/>
      <c r="K52" s="55"/>
      <c r="L52" s="55"/>
      <c r="M52" s="55"/>
      <c r="N52" s="55"/>
      <c r="O52" s="55"/>
      <c r="P52" s="55"/>
      <c r="Q52" s="7"/>
      <c r="R52" s="7"/>
      <c r="S52" s="7"/>
      <c r="T52" s="7"/>
      <c r="U52" s="7"/>
    </row>
    <row r="53" spans="1:21" ht="63.75" x14ac:dyDescent="0.2">
      <c r="A53" s="12">
        <v>5</v>
      </c>
      <c r="B53" s="13" t="s">
        <v>31</v>
      </c>
      <c r="C53" s="13" t="s">
        <v>32</v>
      </c>
      <c r="D53" s="14" t="str">
        <f ca="1">IF(INDIRECT("H"&amp;ROW())="",INDIRECT("E"&amp;ROW()),"(" &amp; INDIRECT("H"&amp;ROW())&amp;")")&amp;IF(INDIRECT("F"&amp;ROW())="0", " * 0", IF(INDIRECT("F"&amp;ROW())="", IF(INDIRECT("I"&amp;ROW())=""," "," * "&amp;INDIRECT("I"&amp;ROW())), " * "&amp;INDIRECT("F"&amp;ROW())))&amp;IF(INDIRECT("G"&amp;ROW())="", " ", " * "&amp;INDIRECT("G"&amp;ROW()))</f>
        <v>1 * 275000 * 1,1*0,021*0,04</v>
      </c>
      <c r="E53" s="15">
        <f>IF( 1 = "","0",1)</f>
        <v>1</v>
      </c>
      <c r="F53" s="15" t="str">
        <f ca="1">IF(INDIRECT("J" &amp; ROW())="текущие цены", IF(INDIRECT("G" &amp; ROW())="", "0", "0"), IF(INDIRECT("G" &amp; ROW())="", "254.1","275000"))</f>
        <v>275000</v>
      </c>
      <c r="G53" s="15" t="s">
        <v>45</v>
      </c>
      <c r="H53" s="15"/>
      <c r="I53" s="15"/>
      <c r="J53" s="15" t="s">
        <v>13</v>
      </c>
      <c r="K53" s="15" t="s">
        <v>46</v>
      </c>
      <c r="L53" s="15">
        <v>4</v>
      </c>
      <c r="M53" s="15" t="s">
        <v>35</v>
      </c>
      <c r="N53" s="16">
        <f ca="1">IF(ISNUMBER(INDIRECT("P" &amp; ROW())), INDIRECT("P" &amp; ROW())*0.4, " ")</f>
        <v>101.60000000000001</v>
      </c>
      <c r="O53" s="16">
        <f ca="1">IF(ISNUMBER(INDIRECT("P" &amp; ROW())), INDIRECT("P" &amp; ROW())*0.6, " ")</f>
        <v>152.4</v>
      </c>
      <c r="P53" s="16">
        <f ca="1">IF(INDIRECT("J" &amp; ROW())="текущие цены", 0, 254)</f>
        <v>254</v>
      </c>
      <c r="Q53" s="7"/>
      <c r="R53" s="7"/>
      <c r="S53" s="7"/>
      <c r="T53" s="7"/>
      <c r="U53" s="7"/>
    </row>
    <row r="54" spans="1:21" ht="63.75" x14ac:dyDescent="0.2">
      <c r="A54" s="17">
        <v>6</v>
      </c>
      <c r="B54" s="18" t="s">
        <v>31</v>
      </c>
      <c r="C54" s="18" t="s">
        <v>36</v>
      </c>
      <c r="D54" s="19" t="str">
        <f ca="1">IF(INDIRECT("H"&amp;ROW())="",INDIRECT("E"&amp;ROW()),"(" &amp; INDIRECT("H"&amp;ROW())&amp;")")&amp;IF(INDIRECT("F"&amp;ROW())="0", " * 0", IF(INDIRECT("F"&amp;ROW())="", IF(INDIRECT("I"&amp;ROW())=""," "," * "&amp;INDIRECT("I"&amp;ROW())), " * "&amp;INDIRECT("F"&amp;ROW())))&amp;IF(INDIRECT("G"&amp;ROW())="", " ", " * "&amp;INDIRECT("G"&amp;ROW()))</f>
        <v>14585 * 6 * 1,1*0,021*0,04</v>
      </c>
      <c r="E54" s="20">
        <f>IF( 14585 = "","0",14585)</f>
        <v>14585</v>
      </c>
      <c r="F54" s="20" t="str">
        <f ca="1">IF(INDIRECT("J" &amp; ROW())="текущие цены", IF(INDIRECT("G" &amp; ROW())="", "0", "0"), IF(INDIRECT("G" &amp; ROW())="", "0.01","6"))</f>
        <v>6</v>
      </c>
      <c r="G54" s="20" t="s">
        <v>45</v>
      </c>
      <c r="H54" s="20"/>
      <c r="I54" s="20"/>
      <c r="J54" s="20" t="s">
        <v>13</v>
      </c>
      <c r="K54" s="20" t="s">
        <v>46</v>
      </c>
      <c r="L54" s="20">
        <v>4</v>
      </c>
      <c r="M54" s="20" t="s">
        <v>39</v>
      </c>
      <c r="N54" s="21">
        <f ca="1">IF(ISNUMBER(INDIRECT("P" &amp; ROW())), INDIRECT("P" &amp; ROW())*0.4, " ")</f>
        <v>58.400000000000006</v>
      </c>
      <c r="O54" s="21">
        <f ca="1">IF(ISNUMBER(INDIRECT("P" &amp; ROW())), INDIRECT("P" &amp; ROW())*0.6, " ")</f>
        <v>87.6</v>
      </c>
      <c r="P54" s="21">
        <f ca="1">IF(INDIRECT("J" &amp; ROW())="текущие цены", 0, 146)</f>
        <v>146</v>
      </c>
      <c r="Q54" s="7"/>
      <c r="R54" s="7"/>
      <c r="S54" s="7"/>
      <c r="T54" s="7"/>
      <c r="U54" s="7"/>
    </row>
    <row r="55" spans="1:21" x14ac:dyDescent="0.2">
      <c r="A55" s="56" t="s">
        <v>16</v>
      </c>
      <c r="B55" s="57"/>
      <c r="C55" s="57"/>
      <c r="D55" s="57"/>
      <c r="E55" s="57"/>
      <c r="F55" s="57"/>
      <c r="G55" s="57"/>
      <c r="H55" s="57"/>
      <c r="I55" s="57"/>
      <c r="J55" s="57"/>
      <c r="K55" s="57"/>
      <c r="L55" s="57"/>
      <c r="M55" s="57"/>
      <c r="N55" s="16">
        <f t="shared" ref="N55:N62" ca="1" si="6">IF(ISNUMBER(INDIRECT("P" &amp; ROW())), INDIRECT("P" &amp; ROW()) * 0.4, " ")</f>
        <v>160</v>
      </c>
      <c r="O55" s="16">
        <f t="shared" ref="O55:O62" ca="1" si="7">IF(ISNUMBER(INDIRECT("P" &amp; ROW())), INDIRECT("P" &amp; ROW()) * 0.6, " ")</f>
        <v>240</v>
      </c>
      <c r="P55" s="16">
        <v>400</v>
      </c>
      <c r="Q55" s="7"/>
      <c r="R55" s="7"/>
      <c r="S55" s="7"/>
      <c r="T55" s="7"/>
      <c r="U55" s="7"/>
    </row>
    <row r="56" spans="1:21" x14ac:dyDescent="0.2">
      <c r="A56" s="58" t="s">
        <v>47</v>
      </c>
      <c r="B56" s="59"/>
      <c r="C56" s="59"/>
      <c r="D56" s="59"/>
      <c r="E56" s="59"/>
      <c r="F56" s="59"/>
      <c r="G56" s="59"/>
      <c r="H56" s="59"/>
      <c r="I56" s="59"/>
      <c r="J56" s="59"/>
      <c r="K56" s="59"/>
      <c r="L56" s="59"/>
      <c r="M56" s="59"/>
      <c r="N56" s="22" t="str">
        <f t="shared" ca="1" si="6"/>
        <v xml:space="preserve"> </v>
      </c>
      <c r="O56" s="22" t="str">
        <f t="shared" ca="1" si="7"/>
        <v xml:space="preserve"> </v>
      </c>
      <c r="P56" s="22"/>
      <c r="Q56" s="7"/>
      <c r="R56" s="7"/>
      <c r="S56" s="7"/>
      <c r="T56" s="7"/>
      <c r="U56" s="7"/>
    </row>
    <row r="57" spans="1:21" ht="27.95" customHeight="1" x14ac:dyDescent="0.2">
      <c r="A57" s="56" t="s">
        <v>41</v>
      </c>
      <c r="B57" s="57"/>
      <c r="C57" s="57"/>
      <c r="D57" s="57"/>
      <c r="E57" s="57"/>
      <c r="F57" s="57"/>
      <c r="G57" s="57"/>
      <c r="H57" s="57"/>
      <c r="I57" s="57"/>
      <c r="J57" s="57"/>
      <c r="K57" s="57"/>
      <c r="L57" s="57"/>
      <c r="M57" s="57"/>
      <c r="N57" s="16">
        <f t="shared" ca="1" si="6"/>
        <v>160</v>
      </c>
      <c r="O57" s="16">
        <f t="shared" ca="1" si="7"/>
        <v>240</v>
      </c>
      <c r="P57" s="16">
        <v>400</v>
      </c>
      <c r="Q57" s="7"/>
      <c r="R57" s="7"/>
      <c r="S57" s="7"/>
      <c r="T57" s="7"/>
      <c r="U57" s="7"/>
    </row>
    <row r="58" spans="1:21" x14ac:dyDescent="0.2">
      <c r="A58" s="56" t="s">
        <v>19</v>
      </c>
      <c r="B58" s="57"/>
      <c r="C58" s="57"/>
      <c r="D58" s="57"/>
      <c r="E58" s="57"/>
      <c r="F58" s="57"/>
      <c r="G58" s="57"/>
      <c r="H58" s="57"/>
      <c r="I58" s="57"/>
      <c r="J58" s="57"/>
      <c r="K58" s="57"/>
      <c r="L58" s="57"/>
      <c r="M58" s="57"/>
      <c r="N58" s="16">
        <f t="shared" ca="1" si="6"/>
        <v>160</v>
      </c>
      <c r="O58" s="16">
        <f t="shared" ca="1" si="7"/>
        <v>240</v>
      </c>
      <c r="P58" s="16">
        <v>400</v>
      </c>
      <c r="Q58" s="7"/>
      <c r="R58" s="7"/>
      <c r="S58" s="7"/>
      <c r="T58" s="7"/>
      <c r="U58" s="7"/>
    </row>
    <row r="59" spans="1:21" ht="27.95" customHeight="1" x14ac:dyDescent="0.2">
      <c r="A59" s="56" t="s">
        <v>42</v>
      </c>
      <c r="B59" s="57"/>
      <c r="C59" s="57"/>
      <c r="D59" s="57"/>
      <c r="E59" s="57"/>
      <c r="F59" s="57"/>
      <c r="G59" s="57"/>
      <c r="H59" s="57"/>
      <c r="I59" s="57"/>
      <c r="J59" s="57"/>
      <c r="K59" s="57"/>
      <c r="L59" s="57"/>
      <c r="M59" s="57"/>
      <c r="N59" s="16">
        <f t="shared" ca="1" si="6"/>
        <v>627.20000000000005</v>
      </c>
      <c r="O59" s="16">
        <f t="shared" ca="1" si="7"/>
        <v>940.8</v>
      </c>
      <c r="P59" s="16">
        <v>1568</v>
      </c>
      <c r="Q59" s="7"/>
      <c r="R59" s="7"/>
      <c r="S59" s="7"/>
      <c r="T59" s="7"/>
      <c r="U59" s="7"/>
    </row>
    <row r="60" spans="1:21" x14ac:dyDescent="0.2">
      <c r="A60" s="56" t="s">
        <v>21</v>
      </c>
      <c r="B60" s="57"/>
      <c r="C60" s="57"/>
      <c r="D60" s="57"/>
      <c r="E60" s="57"/>
      <c r="F60" s="57"/>
      <c r="G60" s="57"/>
      <c r="H60" s="57"/>
      <c r="I60" s="57"/>
      <c r="J60" s="57"/>
      <c r="K60" s="57"/>
      <c r="L60" s="57"/>
      <c r="M60" s="57"/>
      <c r="N60" s="16" t="str">
        <f t="shared" ca="1" si="6"/>
        <v xml:space="preserve"> </v>
      </c>
      <c r="O60" s="16" t="str">
        <f t="shared" ca="1" si="7"/>
        <v xml:space="preserve"> </v>
      </c>
      <c r="P60" s="16"/>
      <c r="Q60" s="7"/>
      <c r="R60" s="7"/>
      <c r="S60" s="7"/>
      <c r="T60" s="7"/>
      <c r="U60" s="7"/>
    </row>
    <row r="61" spans="1:21" x14ac:dyDescent="0.2">
      <c r="A61" s="56" t="s">
        <v>48</v>
      </c>
      <c r="B61" s="57"/>
      <c r="C61" s="57"/>
      <c r="D61" s="57"/>
      <c r="E61" s="57"/>
      <c r="F61" s="57"/>
      <c r="G61" s="57"/>
      <c r="H61" s="57"/>
      <c r="I61" s="57"/>
      <c r="J61" s="57"/>
      <c r="K61" s="57"/>
      <c r="L61" s="57"/>
      <c r="M61" s="57"/>
      <c r="N61" s="16">
        <f t="shared" ca="1" si="6"/>
        <v>58.400000000000006</v>
      </c>
      <c r="O61" s="16">
        <f t="shared" ca="1" si="7"/>
        <v>87.6</v>
      </c>
      <c r="P61" s="16">
        <v>146</v>
      </c>
      <c r="Q61" s="7"/>
      <c r="R61" s="7"/>
      <c r="S61" s="7"/>
      <c r="T61" s="7"/>
      <c r="U61" s="7"/>
    </row>
    <row r="62" spans="1:21" x14ac:dyDescent="0.2">
      <c r="A62" s="66" t="s">
        <v>49</v>
      </c>
      <c r="B62" s="67"/>
      <c r="C62" s="67"/>
      <c r="D62" s="67"/>
      <c r="E62" s="67"/>
      <c r="F62" s="67"/>
      <c r="G62" s="67"/>
      <c r="H62" s="67"/>
      <c r="I62" s="67"/>
      <c r="J62" s="67"/>
      <c r="K62" s="67"/>
      <c r="L62" s="67"/>
      <c r="M62" s="67"/>
      <c r="N62" s="23">
        <f t="shared" ca="1" si="6"/>
        <v>627.20000000000005</v>
      </c>
      <c r="O62" s="23">
        <f t="shared" ca="1" si="7"/>
        <v>940.8</v>
      </c>
      <c r="P62" s="23">
        <v>1568</v>
      </c>
      <c r="Q62" s="7"/>
      <c r="R62" s="7"/>
      <c r="S62" s="7"/>
      <c r="T62" s="7"/>
      <c r="U62" s="7"/>
    </row>
    <row r="63" spans="1:21" ht="21" customHeight="1" x14ac:dyDescent="0.2">
      <c r="A63" s="54" t="s">
        <v>50</v>
      </c>
      <c r="B63" s="55"/>
      <c r="C63" s="55"/>
      <c r="D63" s="55"/>
      <c r="E63" s="55"/>
      <c r="F63" s="55"/>
      <c r="G63" s="55"/>
      <c r="H63" s="55"/>
      <c r="I63" s="55"/>
      <c r="J63" s="55"/>
      <c r="K63" s="55"/>
      <c r="L63" s="55"/>
      <c r="M63" s="55"/>
      <c r="N63" s="55"/>
      <c r="O63" s="55"/>
      <c r="P63" s="55"/>
      <c r="Q63" s="7"/>
      <c r="R63" s="7"/>
      <c r="S63" s="7"/>
      <c r="T63" s="7"/>
      <c r="U63" s="7"/>
    </row>
    <row r="64" spans="1:21" ht="63.75" x14ac:dyDescent="0.2">
      <c r="A64" s="12">
        <v>7</v>
      </c>
      <c r="B64" s="13" t="s">
        <v>31</v>
      </c>
      <c r="C64" s="13" t="s">
        <v>32</v>
      </c>
      <c r="D64" s="14" t="str">
        <f ca="1">IF(INDIRECT("H"&amp;ROW())="",INDIRECT("E"&amp;ROW()),"(" &amp; INDIRECT("H"&amp;ROW())&amp;")")&amp;IF(INDIRECT("F"&amp;ROW())="0", " * 0", IF(INDIRECT("F"&amp;ROW())="", IF(INDIRECT("I"&amp;ROW())=""," "," * "&amp;INDIRECT("I"&amp;ROW())), " * "&amp;INDIRECT("F"&amp;ROW())))&amp;IF(INDIRECT("G"&amp;ROW())="", " ", " * "&amp;INDIRECT("G"&amp;ROW()))</f>
        <v>1 * 275000 * 1,1*0,021*0,05</v>
      </c>
      <c r="E64" s="15">
        <f>IF( 1 = "","0",1)</f>
        <v>1</v>
      </c>
      <c r="F64" s="15" t="str">
        <f ca="1">IF(INDIRECT("J" &amp; ROW())="текущие цены", IF(INDIRECT("G" &amp; ROW())="", "0", "0"), IF(INDIRECT("G" &amp; ROW())="", "317.63","275000"))</f>
        <v>275000</v>
      </c>
      <c r="G64" s="15" t="s">
        <v>51</v>
      </c>
      <c r="H64" s="15"/>
      <c r="I64" s="15"/>
      <c r="J64" s="15" t="s">
        <v>13</v>
      </c>
      <c r="K64" s="15" t="s">
        <v>52</v>
      </c>
      <c r="L64" s="15">
        <v>5</v>
      </c>
      <c r="M64" s="15" t="s">
        <v>35</v>
      </c>
      <c r="N64" s="16">
        <f ca="1">IF(ISNUMBER(INDIRECT("P" &amp; ROW())), INDIRECT("P" &amp; ROW())*0.4, " ")</f>
        <v>127.2</v>
      </c>
      <c r="O64" s="16">
        <f ca="1">IF(ISNUMBER(INDIRECT("P" &amp; ROW())), INDIRECT("P" &amp; ROW())*0.6, " ")</f>
        <v>190.79999999999998</v>
      </c>
      <c r="P64" s="16">
        <f ca="1">IF(INDIRECT("J" &amp; ROW())="текущие цены", 0, 318)</f>
        <v>318</v>
      </c>
      <c r="Q64" s="7"/>
      <c r="R64" s="7"/>
      <c r="S64" s="7"/>
      <c r="T64" s="7"/>
      <c r="U64" s="7"/>
    </row>
    <row r="65" spans="1:21" ht="63.75" x14ac:dyDescent="0.2">
      <c r="A65" s="17">
        <v>8</v>
      </c>
      <c r="B65" s="18" t="s">
        <v>31</v>
      </c>
      <c r="C65" s="18" t="s">
        <v>36</v>
      </c>
      <c r="D65" s="19" t="str">
        <f ca="1">IF(INDIRECT("H"&amp;ROW())="",INDIRECT("E"&amp;ROW()),"(" &amp; INDIRECT("H"&amp;ROW())&amp;")")&amp;IF(INDIRECT("F"&amp;ROW())="0", " * 0", IF(INDIRECT("F"&amp;ROW())="", IF(INDIRECT("I"&amp;ROW())=""," "," * "&amp;INDIRECT("I"&amp;ROW())), " * "&amp;INDIRECT("F"&amp;ROW())))&amp;IF(INDIRECT("G"&amp;ROW())="", " ", " * "&amp;INDIRECT("G"&amp;ROW()))</f>
        <v>14585 * 6 * 1,1*0,021*0,05</v>
      </c>
      <c r="E65" s="20">
        <f>IF( 14585 = "","0",14585)</f>
        <v>14585</v>
      </c>
      <c r="F65" s="20" t="str">
        <f ca="1">IF(INDIRECT("J" &amp; ROW())="текущие цены", IF(INDIRECT("G" &amp; ROW())="", "0", "0"), IF(INDIRECT("G" &amp; ROW())="", "0.01","6"))</f>
        <v>6</v>
      </c>
      <c r="G65" s="20" t="s">
        <v>51</v>
      </c>
      <c r="H65" s="20"/>
      <c r="I65" s="20"/>
      <c r="J65" s="20" t="s">
        <v>13</v>
      </c>
      <c r="K65" s="20" t="s">
        <v>53</v>
      </c>
      <c r="L65" s="20">
        <v>5</v>
      </c>
      <c r="M65" s="20" t="s">
        <v>39</v>
      </c>
      <c r="N65" s="21">
        <f ca="1">IF(ISNUMBER(INDIRECT("P" &amp; ROW())), INDIRECT("P" &amp; ROW())*0.4, " ")</f>
        <v>58.400000000000006</v>
      </c>
      <c r="O65" s="21">
        <f ca="1">IF(ISNUMBER(INDIRECT("P" &amp; ROW())), INDIRECT("P" &amp; ROW())*0.6, " ")</f>
        <v>87.6</v>
      </c>
      <c r="P65" s="21">
        <f ca="1">IF(INDIRECT("J" &amp; ROW())="текущие цены", 0, 146)</f>
        <v>146</v>
      </c>
      <c r="Q65" s="7"/>
      <c r="R65" s="7"/>
      <c r="S65" s="7"/>
      <c r="T65" s="7"/>
      <c r="U65" s="7"/>
    </row>
    <row r="66" spans="1:21" x14ac:dyDescent="0.2">
      <c r="A66" s="56" t="s">
        <v>16</v>
      </c>
      <c r="B66" s="57"/>
      <c r="C66" s="57"/>
      <c r="D66" s="57"/>
      <c r="E66" s="57"/>
      <c r="F66" s="57"/>
      <c r="G66" s="57"/>
      <c r="H66" s="57"/>
      <c r="I66" s="57"/>
      <c r="J66" s="57"/>
      <c r="K66" s="57"/>
      <c r="L66" s="57"/>
      <c r="M66" s="57"/>
      <c r="N66" s="16">
        <f t="shared" ref="N66:N82" ca="1" si="8">IF(ISNUMBER(INDIRECT("P" &amp; ROW())), INDIRECT("P" &amp; ROW()) * 0.4, " ")</f>
        <v>185.60000000000002</v>
      </c>
      <c r="O66" s="16">
        <f t="shared" ref="O66:O82" ca="1" si="9">IF(ISNUMBER(INDIRECT("P" &amp; ROW())), INDIRECT("P" &amp; ROW()) * 0.6, " ")</f>
        <v>278.39999999999998</v>
      </c>
      <c r="P66" s="16">
        <v>464</v>
      </c>
      <c r="Q66" s="7"/>
      <c r="R66" s="7"/>
      <c r="S66" s="7"/>
      <c r="T66" s="7"/>
      <c r="U66" s="7"/>
    </row>
    <row r="67" spans="1:21" x14ac:dyDescent="0.2">
      <c r="A67" s="58" t="s">
        <v>54</v>
      </c>
      <c r="B67" s="59"/>
      <c r="C67" s="59"/>
      <c r="D67" s="59"/>
      <c r="E67" s="59"/>
      <c r="F67" s="59"/>
      <c r="G67" s="59"/>
      <c r="H67" s="59"/>
      <c r="I67" s="59"/>
      <c r="J67" s="59"/>
      <c r="K67" s="59"/>
      <c r="L67" s="59"/>
      <c r="M67" s="59"/>
      <c r="N67" s="22" t="str">
        <f t="shared" ca="1" si="8"/>
        <v xml:space="preserve"> </v>
      </c>
      <c r="O67" s="22" t="str">
        <f t="shared" ca="1" si="9"/>
        <v xml:space="preserve"> </v>
      </c>
      <c r="P67" s="22"/>
      <c r="Q67" s="7"/>
      <c r="R67" s="7"/>
      <c r="S67" s="7"/>
      <c r="T67" s="7"/>
      <c r="U67" s="7"/>
    </row>
    <row r="68" spans="1:21" ht="27.95" customHeight="1" x14ac:dyDescent="0.2">
      <c r="A68" s="56" t="s">
        <v>41</v>
      </c>
      <c r="B68" s="57"/>
      <c r="C68" s="57"/>
      <c r="D68" s="57"/>
      <c r="E68" s="57"/>
      <c r="F68" s="57"/>
      <c r="G68" s="57"/>
      <c r="H68" s="57"/>
      <c r="I68" s="57"/>
      <c r="J68" s="57"/>
      <c r="K68" s="57"/>
      <c r="L68" s="57"/>
      <c r="M68" s="57"/>
      <c r="N68" s="16">
        <f t="shared" ca="1" si="8"/>
        <v>185.60000000000002</v>
      </c>
      <c r="O68" s="16">
        <f t="shared" ca="1" si="9"/>
        <v>278.39999999999998</v>
      </c>
      <c r="P68" s="16">
        <v>464</v>
      </c>
      <c r="Q68" s="7"/>
      <c r="R68" s="7"/>
      <c r="S68" s="7"/>
      <c r="T68" s="7"/>
      <c r="U68" s="7"/>
    </row>
    <row r="69" spans="1:21" x14ac:dyDescent="0.2">
      <c r="A69" s="56" t="s">
        <v>19</v>
      </c>
      <c r="B69" s="57"/>
      <c r="C69" s="57"/>
      <c r="D69" s="57"/>
      <c r="E69" s="57"/>
      <c r="F69" s="57"/>
      <c r="G69" s="57"/>
      <c r="H69" s="57"/>
      <c r="I69" s="57"/>
      <c r="J69" s="57"/>
      <c r="K69" s="57"/>
      <c r="L69" s="57"/>
      <c r="M69" s="57"/>
      <c r="N69" s="16">
        <f t="shared" ca="1" si="8"/>
        <v>185.60000000000002</v>
      </c>
      <c r="O69" s="16">
        <f t="shared" ca="1" si="9"/>
        <v>278.39999999999998</v>
      </c>
      <c r="P69" s="16">
        <v>464</v>
      </c>
      <c r="Q69" s="7"/>
      <c r="R69" s="7"/>
      <c r="S69" s="7"/>
      <c r="T69" s="7"/>
      <c r="U69" s="7"/>
    </row>
    <row r="70" spans="1:21" ht="27.95" customHeight="1" x14ac:dyDescent="0.2">
      <c r="A70" s="56" t="s">
        <v>42</v>
      </c>
      <c r="B70" s="57"/>
      <c r="C70" s="57"/>
      <c r="D70" s="57"/>
      <c r="E70" s="57"/>
      <c r="F70" s="57"/>
      <c r="G70" s="57"/>
      <c r="H70" s="57"/>
      <c r="I70" s="57"/>
      <c r="J70" s="57"/>
      <c r="K70" s="57"/>
      <c r="L70" s="57"/>
      <c r="M70" s="57"/>
      <c r="N70" s="16">
        <f t="shared" ca="1" si="8"/>
        <v>727.6</v>
      </c>
      <c r="O70" s="16">
        <f t="shared" ca="1" si="9"/>
        <v>1091.3999999999999</v>
      </c>
      <c r="P70" s="16">
        <v>1819</v>
      </c>
      <c r="Q70" s="7"/>
      <c r="R70" s="7"/>
      <c r="S70" s="7"/>
      <c r="T70" s="7"/>
      <c r="U70" s="7"/>
    </row>
    <row r="71" spans="1:21" x14ac:dyDescent="0.2">
      <c r="A71" s="56" t="s">
        <v>21</v>
      </c>
      <c r="B71" s="57"/>
      <c r="C71" s="57"/>
      <c r="D71" s="57"/>
      <c r="E71" s="57"/>
      <c r="F71" s="57"/>
      <c r="G71" s="57"/>
      <c r="H71" s="57"/>
      <c r="I71" s="57"/>
      <c r="J71" s="57"/>
      <c r="K71" s="57"/>
      <c r="L71" s="57"/>
      <c r="M71" s="57"/>
      <c r="N71" s="16" t="str">
        <f t="shared" ca="1" si="8"/>
        <v xml:space="preserve"> </v>
      </c>
      <c r="O71" s="16" t="str">
        <f t="shared" ca="1" si="9"/>
        <v xml:space="preserve"> </v>
      </c>
      <c r="P71" s="16"/>
      <c r="Q71" s="7"/>
      <c r="R71" s="7"/>
      <c r="S71" s="7"/>
      <c r="T71" s="7"/>
      <c r="U71" s="7"/>
    </row>
    <row r="72" spans="1:21" x14ac:dyDescent="0.2">
      <c r="A72" s="56" t="s">
        <v>48</v>
      </c>
      <c r="B72" s="57"/>
      <c r="C72" s="57"/>
      <c r="D72" s="57"/>
      <c r="E72" s="57"/>
      <c r="F72" s="57"/>
      <c r="G72" s="57"/>
      <c r="H72" s="57"/>
      <c r="I72" s="57"/>
      <c r="J72" s="57"/>
      <c r="K72" s="57"/>
      <c r="L72" s="57"/>
      <c r="M72" s="57"/>
      <c r="N72" s="16">
        <f t="shared" ca="1" si="8"/>
        <v>58.400000000000006</v>
      </c>
      <c r="O72" s="16">
        <f t="shared" ca="1" si="9"/>
        <v>87.6</v>
      </c>
      <c r="P72" s="16">
        <v>146</v>
      </c>
      <c r="Q72" s="7"/>
      <c r="R72" s="7"/>
      <c r="S72" s="7"/>
      <c r="T72" s="7"/>
      <c r="U72" s="7"/>
    </row>
    <row r="73" spans="1:21" x14ac:dyDescent="0.2">
      <c r="A73" s="66" t="s">
        <v>55</v>
      </c>
      <c r="B73" s="67"/>
      <c r="C73" s="67"/>
      <c r="D73" s="67"/>
      <c r="E73" s="67"/>
      <c r="F73" s="67"/>
      <c r="G73" s="67"/>
      <c r="H73" s="67"/>
      <c r="I73" s="67"/>
      <c r="J73" s="67"/>
      <c r="K73" s="67"/>
      <c r="L73" s="67"/>
      <c r="M73" s="67"/>
      <c r="N73" s="23">
        <f t="shared" ca="1" si="8"/>
        <v>727.6</v>
      </c>
      <c r="O73" s="23">
        <f t="shared" ca="1" si="9"/>
        <v>1091.3999999999999</v>
      </c>
      <c r="P73" s="23">
        <v>1819</v>
      </c>
      <c r="Q73" s="7"/>
      <c r="R73" s="7"/>
      <c r="S73" s="7"/>
      <c r="T73" s="7"/>
      <c r="U73" s="7"/>
    </row>
    <row r="74" spans="1:21" x14ac:dyDescent="0.2">
      <c r="A74" s="68" t="s">
        <v>56</v>
      </c>
      <c r="B74" s="57"/>
      <c r="C74" s="57"/>
      <c r="D74" s="57"/>
      <c r="E74" s="57"/>
      <c r="F74" s="57"/>
      <c r="G74" s="57"/>
      <c r="H74" s="57"/>
      <c r="I74" s="57"/>
      <c r="J74" s="57"/>
      <c r="K74" s="57"/>
      <c r="L74" s="57"/>
      <c r="M74" s="57"/>
      <c r="N74" s="24">
        <f t="shared" ca="1" si="8"/>
        <v>3897.6000000000004</v>
      </c>
      <c r="O74" s="24">
        <f t="shared" ca="1" si="9"/>
        <v>5846.4</v>
      </c>
      <c r="P74" s="24">
        <v>9744</v>
      </c>
      <c r="Q74" s="7"/>
      <c r="R74" s="7"/>
      <c r="S74" s="7"/>
      <c r="T74" s="7"/>
      <c r="U74" s="7"/>
    </row>
    <row r="75" spans="1:21" x14ac:dyDescent="0.2">
      <c r="A75" s="69" t="s">
        <v>57</v>
      </c>
      <c r="B75" s="59"/>
      <c r="C75" s="59"/>
      <c r="D75" s="59"/>
      <c r="E75" s="59"/>
      <c r="F75" s="59"/>
      <c r="G75" s="59"/>
      <c r="H75" s="59"/>
      <c r="I75" s="59"/>
      <c r="J75" s="59"/>
      <c r="K75" s="59"/>
      <c r="L75" s="59"/>
      <c r="M75" s="59"/>
      <c r="N75" s="25" t="str">
        <f t="shared" ca="1" si="8"/>
        <v xml:space="preserve"> </v>
      </c>
      <c r="O75" s="25" t="str">
        <f t="shared" ca="1" si="9"/>
        <v xml:space="preserve"> </v>
      </c>
      <c r="P75" s="25"/>
      <c r="Q75" s="7"/>
      <c r="R75" s="7"/>
      <c r="S75" s="7"/>
      <c r="T75" s="7"/>
      <c r="U75" s="7"/>
    </row>
    <row r="76" spans="1:21" ht="27.95" customHeight="1" x14ac:dyDescent="0.2">
      <c r="A76" s="68" t="s">
        <v>58</v>
      </c>
      <c r="B76" s="57"/>
      <c r="C76" s="57"/>
      <c r="D76" s="57"/>
      <c r="E76" s="57"/>
      <c r="F76" s="57"/>
      <c r="G76" s="57"/>
      <c r="H76" s="57"/>
      <c r="I76" s="57"/>
      <c r="J76" s="57"/>
      <c r="K76" s="57"/>
      <c r="L76" s="57"/>
      <c r="M76" s="57"/>
      <c r="N76" s="24">
        <f t="shared" ca="1" si="8"/>
        <v>5852.8</v>
      </c>
      <c r="O76" s="24">
        <f t="shared" ca="1" si="9"/>
        <v>8779.1999999999989</v>
      </c>
      <c r="P76" s="24">
        <v>14632</v>
      </c>
      <c r="Q76" s="7"/>
      <c r="R76" s="7"/>
      <c r="S76" s="7"/>
      <c r="T76" s="7"/>
      <c r="U76" s="7"/>
    </row>
    <row r="77" spans="1:21" ht="27.95" customHeight="1" x14ac:dyDescent="0.2">
      <c r="A77" s="68" t="s">
        <v>59</v>
      </c>
      <c r="B77" s="57"/>
      <c r="C77" s="57"/>
      <c r="D77" s="57"/>
      <c r="E77" s="57"/>
      <c r="F77" s="57"/>
      <c r="G77" s="57"/>
      <c r="H77" s="57"/>
      <c r="I77" s="57"/>
      <c r="J77" s="57"/>
      <c r="K77" s="57"/>
      <c r="L77" s="57"/>
      <c r="M77" s="57"/>
      <c r="N77" s="24">
        <f t="shared" ca="1" si="8"/>
        <v>14518</v>
      </c>
      <c r="O77" s="24">
        <f t="shared" ca="1" si="9"/>
        <v>21777</v>
      </c>
      <c r="P77" s="24">
        <v>36295</v>
      </c>
      <c r="Q77" s="7"/>
      <c r="R77" s="7"/>
      <c r="S77" s="7"/>
      <c r="T77" s="7"/>
      <c r="U77" s="7"/>
    </row>
    <row r="78" spans="1:21" x14ac:dyDescent="0.2">
      <c r="A78" s="68" t="s">
        <v>19</v>
      </c>
      <c r="B78" s="57"/>
      <c r="C78" s="57"/>
      <c r="D78" s="57"/>
      <c r="E78" s="57"/>
      <c r="F78" s="57"/>
      <c r="G78" s="57"/>
      <c r="H78" s="57"/>
      <c r="I78" s="57"/>
      <c r="J78" s="57"/>
      <c r="K78" s="57"/>
      <c r="L78" s="57"/>
      <c r="M78" s="57"/>
      <c r="N78" s="24">
        <f t="shared" ca="1" si="8"/>
        <v>20370.800000000003</v>
      </c>
      <c r="O78" s="24">
        <f t="shared" ca="1" si="9"/>
        <v>30556.199999999997</v>
      </c>
      <c r="P78" s="24">
        <v>50927</v>
      </c>
      <c r="Q78" s="7"/>
      <c r="R78" s="7"/>
      <c r="S78" s="7"/>
      <c r="T78" s="7"/>
      <c r="U78" s="7"/>
    </row>
    <row r="79" spans="1:21" x14ac:dyDescent="0.2">
      <c r="A79" s="68" t="s">
        <v>21</v>
      </c>
      <c r="B79" s="57"/>
      <c r="C79" s="57"/>
      <c r="D79" s="57"/>
      <c r="E79" s="57"/>
      <c r="F79" s="57"/>
      <c r="G79" s="57"/>
      <c r="H79" s="57"/>
      <c r="I79" s="57"/>
      <c r="J79" s="57"/>
      <c r="K79" s="57"/>
      <c r="L79" s="57"/>
      <c r="M79" s="57"/>
      <c r="N79" s="24" t="str">
        <f t="shared" ca="1" si="8"/>
        <v xml:space="preserve"> </v>
      </c>
      <c r="O79" s="24" t="str">
        <f t="shared" ca="1" si="9"/>
        <v xml:space="preserve"> </v>
      </c>
      <c r="P79" s="24"/>
      <c r="Q79" s="7"/>
      <c r="R79" s="7"/>
      <c r="S79" s="7"/>
      <c r="T79" s="7"/>
      <c r="U79" s="7"/>
    </row>
    <row r="80" spans="1:21" x14ac:dyDescent="0.2">
      <c r="A80" s="68" t="s">
        <v>48</v>
      </c>
      <c r="B80" s="57"/>
      <c r="C80" s="57"/>
      <c r="D80" s="57"/>
      <c r="E80" s="57"/>
      <c r="F80" s="57"/>
      <c r="G80" s="57"/>
      <c r="H80" s="57"/>
      <c r="I80" s="57"/>
      <c r="J80" s="57"/>
      <c r="K80" s="57"/>
      <c r="L80" s="57"/>
      <c r="M80" s="57"/>
      <c r="N80" s="24">
        <f t="shared" ca="1" si="8"/>
        <v>116.80000000000001</v>
      </c>
      <c r="O80" s="24">
        <f t="shared" ca="1" si="9"/>
        <v>175.2</v>
      </c>
      <c r="P80" s="24">
        <v>292</v>
      </c>
      <c r="Q80" s="7"/>
      <c r="R80" s="7"/>
      <c r="S80" s="7"/>
      <c r="T80" s="7"/>
      <c r="U80" s="7"/>
    </row>
    <row r="81" spans="1:27" x14ac:dyDescent="0.2">
      <c r="A81" s="68" t="s">
        <v>60</v>
      </c>
      <c r="B81" s="57"/>
      <c r="C81" s="57"/>
      <c r="D81" s="57"/>
      <c r="E81" s="57"/>
      <c r="F81" s="57"/>
      <c r="G81" s="57"/>
      <c r="H81" s="57"/>
      <c r="I81" s="57"/>
      <c r="J81" s="57"/>
      <c r="K81" s="57"/>
      <c r="L81" s="57"/>
      <c r="M81" s="57"/>
      <c r="N81" s="24">
        <f t="shared" ca="1" si="8"/>
        <v>3666.7440000000006</v>
      </c>
      <c r="O81" s="24">
        <f t="shared" ca="1" si="9"/>
        <v>5500.116</v>
      </c>
      <c r="P81" s="24">
        <v>9166.86</v>
      </c>
      <c r="Q81" s="7"/>
      <c r="R81" s="7"/>
      <c r="S81" s="7"/>
      <c r="T81" s="7"/>
      <c r="U81" s="7"/>
    </row>
    <row r="82" spans="1:27" x14ac:dyDescent="0.2">
      <c r="A82" s="69" t="s">
        <v>61</v>
      </c>
      <c r="B82" s="59"/>
      <c r="C82" s="59"/>
      <c r="D82" s="59"/>
      <c r="E82" s="59"/>
      <c r="F82" s="59"/>
      <c r="G82" s="59"/>
      <c r="H82" s="59"/>
      <c r="I82" s="59"/>
      <c r="J82" s="59"/>
      <c r="K82" s="59"/>
      <c r="L82" s="59"/>
      <c r="M82" s="59"/>
      <c r="N82" s="25">
        <f t="shared" ca="1" si="8"/>
        <v>24037.544000000002</v>
      </c>
      <c r="O82" s="25">
        <f t="shared" ca="1" si="9"/>
        <v>36056.315999999999</v>
      </c>
      <c r="P82" s="25">
        <v>60093.86</v>
      </c>
      <c r="Q82" s="7"/>
      <c r="R82" s="7"/>
      <c r="S82" s="7"/>
      <c r="T82" s="7"/>
      <c r="U82" s="7"/>
    </row>
    <row r="83" spans="1:27" x14ac:dyDescent="0.2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8"/>
      <c r="R83" s="8"/>
      <c r="S83" s="8"/>
      <c r="T83" s="8"/>
      <c r="U83" s="8"/>
    </row>
    <row r="84" spans="1:27" x14ac:dyDescent="0.2">
      <c r="A84" s="2"/>
      <c r="B84" s="2"/>
      <c r="C84" s="2"/>
      <c r="D84" s="2"/>
      <c r="E84" s="2"/>
      <c r="F84" s="2"/>
      <c r="G84" s="2"/>
      <c r="H84" s="2"/>
      <c r="I84" s="8"/>
      <c r="J84" s="8"/>
      <c r="K84" s="8"/>
      <c r="L84" s="8"/>
      <c r="M84" s="8"/>
      <c r="S84" s="10"/>
      <c r="AA84" s="1"/>
    </row>
    <row r="85" spans="1:27" s="35" customFormat="1" x14ac:dyDescent="0.2">
      <c r="A85" s="74" t="s">
        <v>64</v>
      </c>
      <c r="B85" s="75"/>
      <c r="C85" s="75"/>
      <c r="D85" s="75"/>
      <c r="E85" s="75"/>
      <c r="F85" s="75"/>
      <c r="G85" s="75"/>
      <c r="H85" s="34"/>
      <c r="S85" s="36"/>
    </row>
    <row r="86" spans="1:27" s="35" customFormat="1" x14ac:dyDescent="0.2">
      <c r="A86" s="70" t="s">
        <v>65</v>
      </c>
      <c r="B86" s="75"/>
      <c r="C86" s="75"/>
      <c r="D86" s="75"/>
      <c r="E86" s="75"/>
      <c r="F86" s="75"/>
      <c r="G86" s="75"/>
      <c r="H86" s="34"/>
      <c r="S86" s="36"/>
    </row>
    <row r="87" spans="1:27" s="35" customFormat="1" x14ac:dyDescent="0.2">
      <c r="A87" s="37"/>
      <c r="B87" s="38"/>
      <c r="C87" s="37"/>
      <c r="D87" s="37"/>
      <c r="E87" s="39"/>
      <c r="F87" s="39"/>
      <c r="G87" s="40"/>
      <c r="H87" s="34"/>
      <c r="S87" s="36"/>
    </row>
    <row r="88" spans="1:27" s="35" customFormat="1" x14ac:dyDescent="0.2">
      <c r="A88" s="74" t="s">
        <v>66</v>
      </c>
      <c r="B88" s="74"/>
      <c r="C88" s="74"/>
      <c r="D88" s="74"/>
      <c r="E88" s="74"/>
      <c r="F88" s="74"/>
      <c r="G88" s="74"/>
      <c r="H88" s="34"/>
      <c r="S88" s="36"/>
    </row>
    <row r="89" spans="1:27" s="35" customFormat="1" x14ac:dyDescent="0.2">
      <c r="A89" s="70" t="s">
        <v>65</v>
      </c>
      <c r="B89" s="70"/>
      <c r="C89" s="70"/>
      <c r="D89" s="70"/>
      <c r="E89" s="70"/>
      <c r="F89" s="70"/>
      <c r="G89" s="70"/>
      <c r="H89" s="34"/>
      <c r="S89" s="36"/>
    </row>
    <row r="90" spans="1:27" s="41" customFormat="1" x14ac:dyDescent="0.2">
      <c r="S90" s="42"/>
    </row>
  </sheetData>
  <mergeCells count="67">
    <mergeCell ref="A89:G89"/>
    <mergeCell ref="A12:F12"/>
    <mergeCell ref="A15:B15"/>
    <mergeCell ref="A16:B16"/>
    <mergeCell ref="A85:G85"/>
    <mergeCell ref="A86:G86"/>
    <mergeCell ref="A88:G88"/>
    <mergeCell ref="A77:M77"/>
    <mergeCell ref="A78:M78"/>
    <mergeCell ref="A79:M79"/>
    <mergeCell ref="A80:M80"/>
    <mergeCell ref="A81:M81"/>
    <mergeCell ref="A82:M82"/>
    <mergeCell ref="A71:M71"/>
    <mergeCell ref="A72:M72"/>
    <mergeCell ref="A73:M73"/>
    <mergeCell ref="A74:M74"/>
    <mergeCell ref="A75:M75"/>
    <mergeCell ref="A76:M76"/>
    <mergeCell ref="A63:P63"/>
    <mergeCell ref="A66:M66"/>
    <mergeCell ref="A67:M67"/>
    <mergeCell ref="A68:M68"/>
    <mergeCell ref="A69:M69"/>
    <mergeCell ref="A70:M70"/>
    <mergeCell ref="A62:M62"/>
    <mergeCell ref="A49:M49"/>
    <mergeCell ref="A50:M50"/>
    <mergeCell ref="A51:M51"/>
    <mergeCell ref="A52:P52"/>
    <mergeCell ref="A55:M55"/>
    <mergeCell ref="A56:M56"/>
    <mergeCell ref="A57:M57"/>
    <mergeCell ref="A58:M58"/>
    <mergeCell ref="A59:M59"/>
    <mergeCell ref="A60:M60"/>
    <mergeCell ref="A61:M61"/>
    <mergeCell ref="A31:M31"/>
    <mergeCell ref="A32:M32"/>
    <mergeCell ref="A48:M48"/>
    <mergeCell ref="A35:M35"/>
    <mergeCell ref="A36:M36"/>
    <mergeCell ref="A37:M37"/>
    <mergeCell ref="A38:M38"/>
    <mergeCell ref="A39:M39"/>
    <mergeCell ref="A40:M40"/>
    <mergeCell ref="A41:M41"/>
    <mergeCell ref="A42:P42"/>
    <mergeCell ref="A45:M45"/>
    <mergeCell ref="A46:M46"/>
    <mergeCell ref="A47:M47"/>
    <mergeCell ref="A11:F11"/>
    <mergeCell ref="C21:C22"/>
    <mergeCell ref="D21:D22"/>
    <mergeCell ref="A1:D1"/>
    <mergeCell ref="A33:P33"/>
    <mergeCell ref="A21:A22"/>
    <mergeCell ref="B21:B22"/>
    <mergeCell ref="A24:P24"/>
    <mergeCell ref="A26:M26"/>
    <mergeCell ref="A27:M27"/>
    <mergeCell ref="K21:K22"/>
    <mergeCell ref="M21:M22"/>
    <mergeCell ref="N21:P22"/>
    <mergeCell ref="A28:M28"/>
    <mergeCell ref="A29:M29"/>
    <mergeCell ref="A30:M30"/>
  </mergeCells>
  <phoneticPr fontId="4" type="noConversion"/>
  <pageMargins left="0.78740157480314965" right="0.39370078740157483" top="0.39370078740157483" bottom="0.39370078740157483" header="0.23622047244094491" footer="0.23622047244094491"/>
  <pageSetup paperSize="9" scale="72" fitToHeight="30000" orientation="landscape" r:id="rId1"/>
  <headerFooter alignWithMargins="0">
    <oddHeader>&amp;LГРАНД-Смета</oddHeader>
    <oddFooter>&amp;R&amp;P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53" r:id="rId4" name="Button 29">
              <controlPr defaultSize="0" print="0" autoFill="0" autoPict="0" macro="[0]!Лист1.CollapseRows">
                <anchor moveWithCells="1" sizeWithCells="1">
                  <from>
                    <xdr:col>1</xdr:col>
                    <xdr:colOff>19050</xdr:colOff>
                    <xdr:row>21</xdr:row>
                    <xdr:rowOff>895350</xdr:rowOff>
                  </from>
                  <to>
                    <xdr:col>1</xdr:col>
                    <xdr:colOff>1152525</xdr:colOff>
                    <xdr:row>21</xdr:row>
                    <xdr:rowOff>1085850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2"/>
  <sheetViews>
    <sheetView workbookViewId="0">
      <selection activeCell="A12" sqref="A12"/>
    </sheetView>
  </sheetViews>
  <sheetFormatPr defaultRowHeight="12.75" x14ac:dyDescent="0.2"/>
  <sheetData>
    <row r="12" spans="1:1" x14ac:dyDescent="0.2">
      <c r="A12">
        <f>MAX('Мои данные'!L:L)</f>
        <v>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Мои данные</vt:lpstr>
      <vt:lpstr>Вспомогательный</vt:lpstr>
      <vt:lpstr>'Мои данные'!Заголовки_для_печати</vt:lpstr>
      <vt:lpstr>'Мои данные'!Область_печати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Чередеева Наталья Артуровна</dc:creator>
  <dc:description>17.05.2010</dc:description>
  <cp:lastModifiedBy>Сорокина Екатерина Сергеевна</cp:lastModifiedBy>
  <cp:lastPrinted>2017-02-21T01:35:09Z</cp:lastPrinted>
  <dcterms:created xsi:type="dcterms:W3CDTF">2007-02-21T08:42:24Z</dcterms:created>
  <dcterms:modified xsi:type="dcterms:W3CDTF">2017-02-21T01:35:20Z</dcterms:modified>
</cp:coreProperties>
</file>