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pdc\Общий доступ\Реализация капитального ремонта\2017\Сметы на аукцион\2017-05\"/>
    </mc:Choice>
  </mc:AlternateContent>
  <bookViews>
    <workbookView xWindow="-15" yWindow="5940" windowWidth="15480" windowHeight="5775"/>
  </bookViews>
  <sheets>
    <sheet name="Мои данные" sheetId="1" r:id="rId1"/>
    <sheet name="Вспомогательный" sheetId="2" state="hidden" r:id="rId2"/>
  </sheets>
  <definedNames>
    <definedName name="_xlnm.Print_Titles" localSheetId="0">'Мои данные'!$18:$18</definedName>
    <definedName name="_xlnm.Print_Area" localSheetId="0">'Мои данные'!$A$1:$P$51</definedName>
  </definedNames>
  <calcPr calcId="152511"/>
</workbook>
</file>

<file path=xl/calcChain.xml><?xml version="1.0" encoding="utf-8"?>
<calcChain xmlns="http://schemas.openxmlformats.org/spreadsheetml/2006/main">
  <c r="E27" i="1" l="1"/>
  <c r="E28" i="1"/>
  <c r="E30" i="1"/>
  <c r="E31" i="1"/>
  <c r="E33" i="1"/>
  <c r="E34" i="1"/>
  <c r="E20" i="1"/>
  <c r="E21" i="1"/>
  <c r="A12" i="2"/>
  <c r="N25" i="1"/>
  <c r="N22" i="1"/>
  <c r="N41" i="1"/>
  <c r="O24" i="1"/>
  <c r="F31" i="1"/>
  <c r="P30" i="1"/>
  <c r="O46" i="1"/>
  <c r="N46" i="1"/>
  <c r="N39" i="1"/>
  <c r="O25" i="1"/>
  <c r="N40" i="1"/>
  <c r="O23" i="1"/>
  <c r="O35" i="1"/>
  <c r="N42" i="1"/>
  <c r="N35" i="1"/>
  <c r="O41" i="1"/>
  <c r="O37" i="1"/>
  <c r="P27" i="1"/>
  <c r="F30" i="1"/>
  <c r="F34" i="1"/>
  <c r="P28" i="1"/>
  <c r="N38" i="1"/>
  <c r="O43" i="1"/>
  <c r="N27" i="1"/>
  <c r="O28" i="1"/>
  <c r="N37" i="1"/>
  <c r="O38" i="1"/>
  <c r="F28" i="1"/>
  <c r="D28" i="1" s="1"/>
  <c r="O39" i="1"/>
  <c r="N43" i="1"/>
  <c r="P33" i="1"/>
  <c r="F21" i="1"/>
  <c r="D21" i="1" s="1"/>
  <c r="N36" i="1"/>
  <c r="N45" i="1"/>
  <c r="F20" i="1"/>
  <c r="P21" i="1"/>
  <c r="O21" i="1" s="1"/>
  <c r="P34" i="1"/>
  <c r="F27" i="1"/>
  <c r="D31" i="1"/>
  <c r="O44" i="1"/>
  <c r="O40" i="1"/>
  <c r="O36" i="1"/>
  <c r="F33" i="1"/>
  <c r="O42" i="1"/>
  <c r="O45" i="1"/>
  <c r="N44" i="1"/>
  <c r="O30" i="1"/>
  <c r="P31" i="1"/>
  <c r="N31" i="1" s="1"/>
  <c r="N23" i="1"/>
  <c r="O22" i="1"/>
  <c r="N21" i="1"/>
  <c r="P20" i="1"/>
  <c r="N20" i="1" s="1"/>
  <c r="N24" i="1"/>
  <c r="O27" i="1"/>
  <c r="O31" i="1"/>
  <c r="N28" i="1"/>
  <c r="O20" i="1"/>
  <c r="D30" i="1"/>
  <c r="D20" i="1"/>
  <c r="N33" i="1"/>
  <c r="O33" i="1"/>
  <c r="N34" i="1"/>
  <c r="D33" i="1" l="1"/>
  <c r="O34" i="1"/>
  <c r="N30" i="1"/>
  <c r="D27" i="1"/>
  <c r="D34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  <author>YuKazaeva</author>
  </authors>
  <commentList>
    <comment ref="A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5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локальной сметы&gt;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A1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1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ROW())*0.4, " ")&lt;Пустой идентификатор&gt; </t>
        </r>
      </text>
    </comment>
    <comment ref="O1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=IF(ISNUMBER(INDIRECT("P" &amp; ROW())), INDIRECT("P" &amp; ROW())*0.6, " ")&lt;Пустой идентификатор&gt; </t>
        </r>
      </text>
    </comment>
    <comment ref="P1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ценах&gt;, &lt;ИТОГО ПЗ по позиции для БИМ&gt;) 
</t>
        </r>
      </text>
    </comment>
    <comment ref="A4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40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0.4, " ")&lt;Пустой идентификатор&gt;</t>
        </r>
      </text>
    </comment>
    <comment ref="O40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=IF(ISNUMBER(INDIRECT("P" &amp; Row())), INDIRECT("P" &amp; Row()) * 0.6, " ")&lt;Пустой идентификатор&gt;</t>
        </r>
      </text>
    </comment>
    <comment ref="P4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(итоги)&gt;</t>
        </r>
      </text>
    </comment>
  </commentList>
</comments>
</file>

<file path=xl/sharedStrings.xml><?xml version="1.0" encoding="utf-8"?>
<sst xmlns="http://schemas.openxmlformats.org/spreadsheetml/2006/main" count="103" uniqueCount="72">
  <si>
    <t>№ пп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</si>
  <si>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</si>
  <si>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</si>
  <si>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цена, руб.</t>
  </si>
  <si>
    <t>Стоимость работ, руб.</t>
  </si>
  <si>
    <t>Раздел 1. Обмерные работы и обследовательские работы</t>
  </si>
  <si>
    <t>Обмерные работы для многоэтажных зданий I категории сложности, категория сложности работ 2, высота здания до 10 м</t>
  </si>
  <si>
    <t>СБЦ99-2-1-2-5
"Обмерные работы и обследования зданий (1998г.)"</t>
  </si>
  <si>
    <t>1,1*0,75*0,1177</t>
  </si>
  <si>
    <t>4514 / 100</t>
  </si>
  <si>
    <t>цены 2001</t>
  </si>
  <si>
    <t>(11 Сейсмичность 7 баллов ПЗ=1,1;
2.11 При выполнении работ с использованием и сверкой имеющихся чертежей и выдачей скорректированных чертежей заказчику ПЗ=0,75;
СБЦП 10,59%-крыши, 1,18%-планы кровли со вскрытиями (табл.8 п. 12, п. 13) ПЗ=0,1177)</t>
  </si>
  <si>
    <t>100 м3 строительного объема здания</t>
  </si>
  <si>
    <t>Инженерные обследования строительных конструкций многоэтажных зданий I категории сложности, категория сложности работ 2, высота здания до 10 м</t>
  </si>
  <si>
    <t>СБЦ99-4-1-2-5
"Обмерные работы и обследования зданий (1998г.)"</t>
  </si>
  <si>
    <t>1,1*0,75*0,034</t>
  </si>
  <si>
    <t>(11 Сейсмичность 7 баллов ПЗ=1,1;
2.11 При выполнении работ с использованием и сверкой имеющихся чертежей и выдачей скорректированных чертежей заказчику ПЗ=0,75;
СБЦП 3,4%-кровля (таблица 9, п. 10) ПЗ=0,034 (ОЗП=0,034; ЭМ=0,034 к расх.; ЗПМ=0,034; МАТ=0,034 к расх.; ТЗ=0,034; ТЗМ=0,034))</t>
  </si>
  <si>
    <t>Итого прямые затраты по разделу в ценах 2001г.</t>
  </si>
  <si>
    <t>Итоги по разделу 1 Обмерные работы и обследовательские работы :</t>
  </si>
  <si>
    <t xml:space="preserve">  Итого</t>
  </si>
  <si>
    <t xml:space="preserve">  Итого по разделу 1 Обмерные работы и обследовательские работы</t>
  </si>
  <si>
    <t>Раздел 2. Проектные работы</t>
  </si>
  <si>
    <t>Жилые дома: трехэтажные</t>
  </si>
  <si>
    <t>СБЦП05-1-1-3-А
/Таблица: СБЦП05-1-1-3 параметр: А/ "Кап. ремонт зданий и сооружений жилищно-гражд. назн. (2012 г.)"</t>
  </si>
  <si>
    <t>1,1*0,021</t>
  </si>
  <si>
    <t>(Таб.11 п.4 Сейсмичность 7 баллов ПЗ=1,1;
Таб.12 п.7 Ремонт (замена) кровли и ограждающих конструкций: здания бескаркасные многоэтажные - 2,1% ПЗ=0,021)</t>
  </si>
  <si>
    <t>объект</t>
  </si>
  <si>
    <t>СБЦП05-1-1-3-Б
/Таблица: СБЦП05-1-1-3 параметр: Б/ "Кап. ремонт зданий и сооружений жилищно-гражд. назн. (2012 г.)"</t>
  </si>
  <si>
    <t>м3</t>
  </si>
  <si>
    <t>ПОС</t>
  </si>
  <si>
    <t>1,1*0,021*0,04</t>
  </si>
  <si>
    <t>(Таб.11 п.4 Сейсмичность 7 баллов ПЗ=1,1;
Таб.12 п.7 Ремонт (замена) кровли и ограждающих конструкций: здания бескаркасные многоэтажные - 2,1% ПЗ=0,021;
Таб.12 п.18 Проект организации строительства (ПОС): здания бескаркасные многоэтажные - 4,0% ПЗ=0,04)</t>
  </si>
  <si>
    <t>Сметная стоимость</t>
  </si>
  <si>
    <t>1,1*0,021*0,05</t>
  </si>
  <si>
    <t>(Таб.11 п.4 Сейсмичность 7 баллов ПЗ=1,1;
Таб.12 п.7 Ремонт (замена) кровли и ограждающих конструкций: здания бескаркасные многоэтажные - 2,1% ПЗ=0,021;
Таб.12 п.19 Сметная документация: здания бескаркасные многоэтажные - 5,0% ПЗ=0,05)</t>
  </si>
  <si>
    <t>Итоги по разделу 2 Проектные работы :</t>
  </si>
  <si>
    <t xml:space="preserve">  Проектные работы: Капитальный ремонт зданий и сооружений ж/г назначения (2012)</t>
  </si>
  <si>
    <t xml:space="preserve">  Итого по разделу 2 Проектные работы</t>
  </si>
  <si>
    <t>Итого прямые затраты по смете в ценах 2001г.</t>
  </si>
  <si>
    <t>Итоги по смете:</t>
  </si>
  <si>
    <t xml:space="preserve">  НДС 18%</t>
  </si>
  <si>
    <t xml:space="preserve">  ВСЕГО по смете</t>
  </si>
  <si>
    <t>1</t>
  </si>
  <si>
    <t>2</t>
  </si>
  <si>
    <t>3</t>
  </si>
  <si>
    <t>4</t>
  </si>
  <si>
    <t>5</t>
  </si>
  <si>
    <t>6</t>
  </si>
  <si>
    <t>7</t>
  </si>
  <si>
    <t>8</t>
  </si>
  <si>
    <t>Ед.изм.</t>
  </si>
  <si>
    <t>Обоснование</t>
  </si>
  <si>
    <t>Объем</t>
  </si>
  <si>
    <t>4514/100</t>
  </si>
  <si>
    <t>СМЕТА №</t>
  </si>
  <si>
    <t>Наименование организации заказчика      НО "Хабаровский краевой фонд капитального ремонта"</t>
  </si>
  <si>
    <t>Год постройки                   1987</t>
  </si>
  <si>
    <t>Здание жилое                     3 этажа    3 подъезда</t>
  </si>
  <si>
    <t>Объем здания, м3              4514</t>
  </si>
  <si>
    <t>Наименование  объекта    3-х  этажный жилой дом по адресу:  Хабаровский край, р-он Хабаровский, п.Гаровка, ул.Морская, д.2</t>
  </si>
  <si>
    <t>на проектные работы</t>
  </si>
  <si>
    <t>(должность, подпись, расшифровка)</t>
  </si>
  <si>
    <t xml:space="preserve">Составил: главный специалист СО НО "Хабаровский краевой фонд капитального ремонта" _____________________/Н.Г.Линькова   </t>
  </si>
  <si>
    <t xml:space="preserve">                                           Проверил : Начальник СО НО "Хабаровский краевой фонд капитального ремонта"____________________/ _____________Е.С. Сорокина</t>
  </si>
  <si>
    <t>УТВЕРЖДАЮ:</t>
  </si>
  <si>
    <t>Директор НО "Хабаровский краевой фонд капитального ремонта"</t>
  </si>
  <si>
    <t>_________________________________А.В.Сидорова</t>
  </si>
  <si>
    <t xml:space="preserve">  Всего с учетом "Обмерные и инженерное обследование (приложение 3 к письму Минстроя России от 03.06.2016 №17269-ХМ/09) СМР=30,17"</t>
  </si>
  <si>
    <t xml:space="preserve">  Всего с учетом "Проектные работы (приложение 3 к письму Минстроя России 03.06.2016 №17269-ХМ/09) СМР=3,92"</t>
  </si>
  <si>
    <t xml:space="preserve">  Итого Поз. 9-10 "Обмерные и инженерное обследование (приложение 3 к письму Минстроя России от 03.06.2016 №17269-ХМ/09) СМР=30,17"</t>
  </si>
  <si>
    <t xml:space="preserve">  Итого Поз. 1-6 "Проектные работы (приложение 3 к письму Минстроя России 03.06.2016 №17269-ХМ/09) СМР=3,92"</t>
  </si>
  <si>
    <t>Вид проектных или изыскательских работ:   На разработку проектной документации на капитальный ремонт крыши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</si>
</sst>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i/>
      <sz val="10"/>
      <name val="Arial Cyr"/>
      <charset val="204"/>
    </font>
    <font>
      <sz val="8"/>
      <color rgb="FF000000"/>
      <name val="Arial Cyr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79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10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10" fontId="7" fillId="0" borderId="3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7" fillId="0" borderId="1" xfId="5" applyNumberFormat="1" applyFont="1" applyBorder="1" applyAlignment="1">
      <alignment horizontal="right" vertical="top" wrapText="1"/>
    </xf>
    <xf numFmtId="2" fontId="8" fillId="0" borderId="1" xfId="5" applyNumberFormat="1" applyFont="1" applyBorder="1" applyAlignment="1">
      <alignment horizontal="right" vertical="top" wrapText="1"/>
    </xf>
    <xf numFmtId="0" fontId="7" fillId="0" borderId="0" xfId="0" applyFont="1" applyAlignment="1">
      <alignment horizontal="center"/>
    </xf>
    <xf numFmtId="0" fontId="4" fillId="0" borderId="0" xfId="0" applyFont="1"/>
    <xf numFmtId="0" fontId="16" fillId="0" borderId="0" xfId="0" applyFont="1"/>
    <xf numFmtId="0" fontId="16" fillId="0" borderId="3" xfId="12" applyFont="1" applyBorder="1">
      <alignment horizontal="center" wrapText="1"/>
    </xf>
    <xf numFmtId="0" fontId="16" fillId="0" borderId="1" xfId="0" applyNumberFormat="1" applyFont="1" applyBorder="1" applyAlignment="1">
      <alignment horizontal="center" vertical="top" wrapText="1"/>
    </xf>
    <xf numFmtId="0" fontId="16" fillId="0" borderId="3" xfId="0" applyNumberFormat="1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wrapText="1"/>
    </xf>
    <xf numFmtId="0" fontId="17" fillId="0" borderId="0" xfId="0" applyFont="1" applyAlignment="1">
      <alignment horizontal="left" vertical="top" wrapText="1"/>
    </xf>
    <xf numFmtId="0" fontId="5" fillId="0" borderId="0" xfId="0" applyFont="1"/>
    <xf numFmtId="0" fontId="17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17" fillId="0" borderId="0" xfId="0" applyFont="1" applyAlignment="1">
      <alignment horizontal="center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11" fillId="0" borderId="0" xfId="0" applyFont="1"/>
    <xf numFmtId="0" fontId="8" fillId="0" borderId="0" xfId="0" applyFont="1" applyAlignment="1">
      <alignment horizontal="left" vertical="top"/>
    </xf>
    <xf numFmtId="0" fontId="7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7" fillId="0" borderId="0" xfId="21" applyFont="1" applyBorder="1" applyAlignment="1">
      <alignment horizontal="left" wrapText="1"/>
    </xf>
    <xf numFmtId="49" fontId="12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0" fillId="0" borderId="0" xfId="0" applyAlignment="1"/>
    <xf numFmtId="0" fontId="5" fillId="0" borderId="0" xfId="0" applyFont="1" applyAlignment="1">
      <alignment wrapText="1"/>
    </xf>
    <xf numFmtId="0" fontId="5" fillId="0" borderId="0" xfId="0" applyFont="1" applyAlignment="1"/>
    <xf numFmtId="0" fontId="0" fillId="0" borderId="0" xfId="0" applyAlignment="1">
      <alignment wrapText="1"/>
    </xf>
    <xf numFmtId="0" fontId="1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5" fillId="0" borderId="0" xfId="0" applyFont="1" applyBorder="1" applyAlignment="1">
      <alignment horizontal="center"/>
    </xf>
    <xf numFmtId="0" fontId="1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8" fillId="0" borderId="1" xfId="5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16</xdr:row>
          <xdr:rowOff>895350</xdr:rowOff>
        </xdr:from>
        <xdr:to>
          <xdr:col>1</xdr:col>
          <xdr:colOff>1152525</xdr:colOff>
          <xdr:row>16</xdr:row>
          <xdr:rowOff>1085850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B51"/>
  <sheetViews>
    <sheetView showGridLines="0" tabSelected="1" zoomScale="120" zoomScaleNormal="120" workbookViewId="0">
      <selection activeCell="A10" sqref="A10:M10"/>
    </sheetView>
  </sheetViews>
  <sheetFormatPr defaultRowHeight="12.75" x14ac:dyDescent="0.2"/>
  <cols>
    <col min="1" max="1" width="5.7109375" style="1" customWidth="1"/>
    <col min="2" max="2" width="29.42578125" style="1" customWidth="1"/>
    <col min="3" max="3" width="28.42578125" style="1" customWidth="1"/>
    <col min="4" max="4" width="16.85546875" style="1" customWidth="1"/>
    <col min="5" max="8" width="22.140625" style="1" hidden="1" customWidth="1"/>
    <col min="9" max="9" width="18.28515625" style="1" customWidth="1"/>
    <col min="10" max="10" width="18.7109375" style="1" hidden="1" customWidth="1"/>
    <col min="11" max="11" width="37" style="25" customWidth="1"/>
    <col min="12" max="12" width="14.28515625" style="1" hidden="1" customWidth="1"/>
    <col min="13" max="13" width="8" style="1" customWidth="1"/>
    <col min="14" max="14" width="0.140625" style="1" customWidth="1"/>
    <col min="15" max="15" width="10.85546875" style="1" hidden="1" customWidth="1"/>
    <col min="16" max="16" width="13.140625" style="1" customWidth="1"/>
    <col min="17" max="18" width="9.140625" style="1" customWidth="1"/>
    <col min="19" max="26" width="9.140625" style="1"/>
    <col min="27" max="27" width="79.28515625" style="8" customWidth="1"/>
    <col min="28" max="16384" width="9.140625" style="1"/>
  </cols>
  <sheetData>
    <row r="1" spans="1:28" s="30" customFormat="1" x14ac:dyDescent="0.2">
      <c r="A1" s="51"/>
      <c r="B1" s="51"/>
      <c r="C1" s="51"/>
      <c r="D1" s="51"/>
      <c r="N1" s="25"/>
      <c r="Q1" s="7"/>
      <c r="AB1" s="31"/>
    </row>
    <row r="2" spans="1:28" s="30" customFormat="1" ht="15.75" customHeight="1" x14ac:dyDescent="0.2">
      <c r="I2" s="32"/>
      <c r="K2" s="42" t="s">
        <v>64</v>
      </c>
      <c r="W2" s="31"/>
    </row>
    <row r="3" spans="1:28" s="30" customFormat="1" ht="4.5" customHeight="1" x14ac:dyDescent="0.2">
      <c r="A3" s="66"/>
      <c r="B3" s="67"/>
      <c r="C3" s="33"/>
      <c r="D3"/>
      <c r="F3"/>
      <c r="G3" s="33"/>
      <c r="H3" s="68"/>
      <c r="I3" s="69"/>
      <c r="J3" s="69"/>
      <c r="K3" s="69"/>
      <c r="L3" s="69"/>
      <c r="M3" s="69"/>
      <c r="N3" s="69"/>
      <c r="O3" s="69"/>
      <c r="P3" s="69"/>
      <c r="Q3" s="69"/>
    </row>
    <row r="4" spans="1:28" s="30" customFormat="1" ht="17.25" customHeight="1" x14ac:dyDescent="0.2">
      <c r="A4" s="61"/>
      <c r="B4" s="65"/>
      <c r="C4" s="65"/>
      <c r="D4"/>
      <c r="F4"/>
      <c r="G4" s="34"/>
      <c r="H4" s="70" t="s">
        <v>65</v>
      </c>
      <c r="I4" s="65"/>
      <c r="J4" s="65"/>
      <c r="K4" s="65"/>
      <c r="L4" s="65"/>
      <c r="M4" s="65"/>
      <c r="Q4" s="31"/>
    </row>
    <row r="5" spans="1:28" s="30" customFormat="1" ht="16.5" customHeight="1" x14ac:dyDescent="0.2">
      <c r="A5" s="61"/>
      <c r="B5" s="65"/>
      <c r="C5" s="65"/>
      <c r="D5"/>
      <c r="F5"/>
      <c r="G5" s="35"/>
      <c r="H5" s="71" t="s">
        <v>66</v>
      </c>
      <c r="I5" s="71"/>
      <c r="J5" s="71"/>
      <c r="K5" s="71"/>
      <c r="L5" s="71"/>
      <c r="M5" s="71"/>
      <c r="N5" s="71"/>
      <c r="Q5" s="31"/>
    </row>
    <row r="6" spans="1:28" s="30" customFormat="1" ht="9" customHeight="1" x14ac:dyDescent="0.2">
      <c r="A6" s="36"/>
      <c r="B6" s="33"/>
      <c r="C6" s="33"/>
      <c r="D6" s="34"/>
      <c r="F6"/>
      <c r="G6" s="35"/>
      <c r="H6" s="33"/>
      <c r="I6" s="33"/>
      <c r="Q6" s="31"/>
    </row>
    <row r="7" spans="1:28" s="30" customFormat="1" x14ac:dyDescent="0.2">
      <c r="A7" s="36"/>
      <c r="B7" s="33"/>
      <c r="C7" s="33"/>
      <c r="D7" s="35"/>
      <c r="F7" s="33"/>
      <c r="G7" s="33"/>
      <c r="H7" s="33"/>
      <c r="I7" s="33"/>
      <c r="Q7" s="31"/>
    </row>
    <row r="8" spans="1:28" s="30" customFormat="1" ht="12.75" customHeight="1" x14ac:dyDescent="0.2">
      <c r="A8" s="36"/>
      <c r="B8" s="33"/>
      <c r="C8" s="33"/>
      <c r="D8" s="37" t="s">
        <v>54</v>
      </c>
      <c r="F8" s="33"/>
      <c r="G8" s="33"/>
      <c r="H8" s="33"/>
      <c r="I8" s="33"/>
      <c r="Q8" s="31"/>
    </row>
    <row r="9" spans="1:28" s="30" customFormat="1" x14ac:dyDescent="0.2">
      <c r="A9" s="24"/>
      <c r="B9" s="24"/>
      <c r="C9" s="24"/>
      <c r="D9" s="24" t="s">
        <v>60</v>
      </c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AB9" s="31"/>
    </row>
    <row r="10" spans="1:28" s="30" customFormat="1" x14ac:dyDescent="0.2">
      <c r="A10" s="61" t="s">
        <v>59</v>
      </c>
      <c r="B10" s="61"/>
      <c r="C10" s="61"/>
      <c r="D10" s="61"/>
      <c r="E10" s="61"/>
      <c r="F10" s="61"/>
      <c r="G10" s="61"/>
      <c r="H10" s="61"/>
      <c r="I10" s="61"/>
      <c r="J10" s="62"/>
      <c r="K10" s="62"/>
      <c r="L10" s="62"/>
      <c r="M10" s="62"/>
      <c r="Q10" s="31"/>
    </row>
    <row r="11" spans="1:28" s="30" customFormat="1" x14ac:dyDescent="0.2">
      <c r="A11" s="63" t="s">
        <v>56</v>
      </c>
      <c r="B11" s="63"/>
      <c r="C11" s="38"/>
      <c r="D11" s="39"/>
      <c r="F11" s="33"/>
      <c r="G11" s="33"/>
      <c r="H11" s="33"/>
      <c r="I11" s="33"/>
      <c r="Q11" s="31"/>
    </row>
    <row r="12" spans="1:28" s="30" customFormat="1" x14ac:dyDescent="0.2">
      <c r="A12" s="64" t="s">
        <v>58</v>
      </c>
      <c r="B12" s="64"/>
      <c r="C12" s="38"/>
      <c r="D12" s="39"/>
      <c r="F12" s="33"/>
      <c r="G12" s="33"/>
      <c r="H12" s="33"/>
      <c r="I12" s="33"/>
      <c r="Q12" s="31"/>
    </row>
    <row r="13" spans="1:28" s="30" customFormat="1" x14ac:dyDescent="0.2">
      <c r="A13" s="40" t="s">
        <v>57</v>
      </c>
      <c r="B13" s="40"/>
      <c r="C13" s="38"/>
      <c r="D13" s="40"/>
      <c r="F13" s="33"/>
      <c r="G13" s="33"/>
      <c r="H13" s="33"/>
      <c r="I13" s="33"/>
      <c r="Q13" s="31"/>
    </row>
    <row r="14" spans="1:28" s="30" customFormat="1" ht="16.5" customHeight="1" x14ac:dyDescent="0.2">
      <c r="A14" s="61" t="s">
        <v>71</v>
      </c>
      <c r="B14" s="61"/>
      <c r="C14" s="61"/>
      <c r="D14" s="61"/>
      <c r="E14" s="61"/>
      <c r="F14" s="61"/>
      <c r="G14" s="61"/>
      <c r="H14" s="61"/>
      <c r="I14" s="65"/>
      <c r="J14" s="65"/>
      <c r="K14" s="65"/>
      <c r="L14" s="65"/>
      <c r="M14" s="65"/>
      <c r="N14" s="65"/>
      <c r="O14" s="65"/>
      <c r="P14" s="65"/>
      <c r="Q14" s="65"/>
    </row>
    <row r="15" spans="1:28" s="30" customFormat="1" x14ac:dyDescent="0.2">
      <c r="A15" s="61" t="s">
        <v>55</v>
      </c>
      <c r="B15" s="61"/>
      <c r="C15" s="61"/>
      <c r="D15" s="61"/>
      <c r="E15" s="61"/>
      <c r="F15" s="61"/>
      <c r="G15" s="61"/>
      <c r="H15" s="33"/>
      <c r="I15" s="33"/>
      <c r="P15" s="41"/>
      <c r="Q15" s="31"/>
    </row>
    <row r="16" spans="1:28" s="4" customFormat="1" ht="28.5" customHeight="1" x14ac:dyDescent="0.2">
      <c r="A16" s="54" t="s">
        <v>0</v>
      </c>
      <c r="B16" s="54" t="s">
        <v>1</v>
      </c>
      <c r="C16" s="54" t="s">
        <v>2</v>
      </c>
      <c r="D16" s="54" t="s">
        <v>3</v>
      </c>
      <c r="E16" s="3"/>
      <c r="F16" s="3"/>
      <c r="G16" s="3"/>
      <c r="H16" s="3"/>
      <c r="I16" s="54" t="s">
        <v>52</v>
      </c>
      <c r="J16" s="3"/>
      <c r="K16" s="54" t="s">
        <v>51</v>
      </c>
      <c r="L16" s="3"/>
      <c r="M16" s="54" t="s">
        <v>50</v>
      </c>
      <c r="N16" s="45" t="s">
        <v>4</v>
      </c>
      <c r="O16" s="46"/>
      <c r="P16" s="47"/>
    </row>
    <row r="17" spans="1:27" s="4" customFormat="1" ht="25.5" customHeight="1" x14ac:dyDescent="0.2">
      <c r="A17" s="55"/>
      <c r="B17" s="55"/>
      <c r="C17" s="55"/>
      <c r="D17" s="55"/>
      <c r="E17" s="3"/>
      <c r="F17" s="3"/>
      <c r="G17" s="3"/>
      <c r="H17" s="3"/>
      <c r="I17" s="55"/>
      <c r="J17" s="3"/>
      <c r="K17" s="55"/>
      <c r="L17" s="3"/>
      <c r="M17" s="55"/>
      <c r="N17" s="48"/>
      <c r="O17" s="49"/>
      <c r="P17" s="50"/>
    </row>
    <row r="18" spans="1:27" x14ac:dyDescent="0.2">
      <c r="A18" s="9">
        <v>1</v>
      </c>
      <c r="B18" s="9">
        <v>2</v>
      </c>
      <c r="C18" s="9">
        <v>3</v>
      </c>
      <c r="D18" s="9">
        <v>4</v>
      </c>
      <c r="E18" s="9"/>
      <c r="F18" s="9"/>
      <c r="G18" s="9"/>
      <c r="H18" s="9"/>
      <c r="I18" s="9">
        <v>5</v>
      </c>
      <c r="J18" s="9"/>
      <c r="K18" s="27">
        <v>6</v>
      </c>
      <c r="L18" s="9"/>
      <c r="M18" s="9">
        <v>7</v>
      </c>
      <c r="N18" s="9">
        <v>5</v>
      </c>
      <c r="O18" s="9">
        <v>6</v>
      </c>
      <c r="P18" s="9">
        <v>8</v>
      </c>
    </row>
    <row r="19" spans="1:27" s="5" customFormat="1" ht="21" customHeight="1" x14ac:dyDescent="0.2">
      <c r="A19" s="52" t="s">
        <v>5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</row>
    <row r="20" spans="1:27" s="6" customFormat="1" ht="72" customHeight="1" x14ac:dyDescent="0.2">
      <c r="A20" s="10" t="s">
        <v>42</v>
      </c>
      <c r="B20" s="11" t="s">
        <v>6</v>
      </c>
      <c r="C20" s="11" t="s">
        <v>7</v>
      </c>
      <c r="D20" s="12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(4514 / 100) * 27.73 * 1,1*0,75*0,1177</v>
      </c>
      <c r="E20" s="13">
        <f>IF( 45.14 = "","0",45.14)</f>
        <v>45.14</v>
      </c>
      <c r="F20" s="13" t="str">
        <f ca="1">IF(INDIRECT("J" &amp; ROW())="текущие цены", IF(INDIRECT("G" &amp; ROW())="", "0", "0"), IF(INDIRECT("G" &amp; ROW())="", "2.69","27.73"))</f>
        <v>27.73</v>
      </c>
      <c r="G20" s="13" t="s">
        <v>8</v>
      </c>
      <c r="H20" s="13" t="s">
        <v>9</v>
      </c>
      <c r="I20" s="13" t="s">
        <v>53</v>
      </c>
      <c r="J20" s="13" t="s">
        <v>10</v>
      </c>
      <c r="K20" s="28" t="s">
        <v>11</v>
      </c>
      <c r="L20" s="13"/>
      <c r="M20" s="13" t="s">
        <v>12</v>
      </c>
      <c r="N20" s="14">
        <f ca="1">IF(ISNUMBER(INDIRECT("P" &amp; ROW())), INDIRECT("P" &amp; ROW())*0.4, " ")</f>
        <v>48.400000000000006</v>
      </c>
      <c r="O20" s="14">
        <f ca="1">IF(ISNUMBER(INDIRECT("P" &amp; ROW())), INDIRECT("P" &amp; ROW())*0.6, " ")</f>
        <v>72.599999999999994</v>
      </c>
      <c r="P20" s="14">
        <f ca="1">IF(INDIRECT("J" &amp; ROW())="текущие цены", 0, 121)</f>
        <v>121</v>
      </c>
      <c r="Q20" s="5"/>
      <c r="R20" s="5"/>
      <c r="S20" s="5"/>
      <c r="T20" s="5"/>
      <c r="U20" s="5"/>
      <c r="AA20" s="5"/>
    </row>
    <row r="21" spans="1:27" ht="77.25" customHeight="1" x14ac:dyDescent="0.2">
      <c r="A21" s="15" t="s">
        <v>43</v>
      </c>
      <c r="B21" s="16" t="s">
        <v>13</v>
      </c>
      <c r="C21" s="16" t="s">
        <v>14</v>
      </c>
      <c r="D21" s="17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(4514 / 100) * 25.8 * 1,1*0,75*0,034</v>
      </c>
      <c r="E21" s="18">
        <f>IF( 45.14 = "","0",45.14)</f>
        <v>45.14</v>
      </c>
      <c r="F21" s="18" t="str">
        <f ca="1">IF(INDIRECT("J" &amp; ROW())="текущие цены", IF(INDIRECT("G" &amp; ROW())="", "0", "0"), IF(INDIRECT("G" &amp; ROW())="", "0.72","25.8"))</f>
        <v>25.8</v>
      </c>
      <c r="G21" s="18" t="s">
        <v>15</v>
      </c>
      <c r="H21" s="18" t="s">
        <v>9</v>
      </c>
      <c r="I21" s="18" t="s">
        <v>53</v>
      </c>
      <c r="J21" s="18" t="s">
        <v>10</v>
      </c>
      <c r="K21" s="29" t="s">
        <v>16</v>
      </c>
      <c r="L21" s="18"/>
      <c r="M21" s="18" t="s">
        <v>12</v>
      </c>
      <c r="N21" s="19">
        <f ca="1">IF(ISNUMBER(INDIRECT("P" &amp; ROW())), INDIRECT("P" &amp; ROW())*0.4, " ")</f>
        <v>13.200000000000001</v>
      </c>
      <c r="O21" s="19">
        <f ca="1">IF(ISNUMBER(INDIRECT("P" &amp; ROW())), INDIRECT("P" &amp; ROW())*0.6, " ")</f>
        <v>19.8</v>
      </c>
      <c r="P21" s="19">
        <f ca="1">IF(INDIRECT("J" &amp; ROW())="текущие цены", 0, 33)</f>
        <v>33</v>
      </c>
      <c r="Q21" s="5"/>
      <c r="R21" s="5"/>
      <c r="S21" s="5"/>
      <c r="T21" s="5"/>
      <c r="U21" s="5"/>
    </row>
    <row r="22" spans="1:27" x14ac:dyDescent="0.2">
      <c r="A22" s="56" t="s">
        <v>17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14">
        <f t="shared" ref="N22:N25" ca="1" si="0">IF(ISNUMBER(INDIRECT("P" &amp; ROW())), INDIRECT("P" &amp; ROW()) * 0.4, " ")</f>
        <v>61.6</v>
      </c>
      <c r="O22" s="14">
        <f t="shared" ref="O22:O25" ca="1" si="1">IF(ISNUMBER(INDIRECT("P" &amp; ROW())), INDIRECT("P" &amp; ROW()) * 0.6, " ")</f>
        <v>92.399999999999991</v>
      </c>
      <c r="P22" s="14">
        <v>154</v>
      </c>
      <c r="Q22" s="5"/>
      <c r="R22" s="5"/>
      <c r="S22" s="5"/>
      <c r="T22" s="5"/>
      <c r="U22" s="5"/>
    </row>
    <row r="23" spans="1:27" ht="27.95" customHeight="1" x14ac:dyDescent="0.2">
      <c r="A23" s="57" t="s">
        <v>18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20" t="str">
        <f t="shared" ca="1" si="0"/>
        <v xml:space="preserve"> </v>
      </c>
      <c r="O23" s="20" t="str">
        <f t="shared" ca="1" si="1"/>
        <v xml:space="preserve"> </v>
      </c>
      <c r="P23" s="20"/>
      <c r="Q23" s="5"/>
      <c r="R23" s="5"/>
      <c r="S23" s="5"/>
      <c r="T23" s="5"/>
      <c r="U23" s="5"/>
    </row>
    <row r="24" spans="1:27" ht="14.25" customHeight="1" x14ac:dyDescent="0.2">
      <c r="A24" s="56" t="s">
        <v>67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14">
        <f t="shared" ca="1" si="0"/>
        <v>1858.4</v>
      </c>
      <c r="O24" s="14">
        <f t="shared" ca="1" si="1"/>
        <v>2787.6</v>
      </c>
      <c r="P24" s="14">
        <v>4646</v>
      </c>
      <c r="Q24" s="5"/>
      <c r="R24" s="5"/>
      <c r="S24" s="5"/>
      <c r="T24" s="5"/>
      <c r="U24" s="5"/>
    </row>
    <row r="25" spans="1:27" ht="27.95" customHeight="1" x14ac:dyDescent="0.2">
      <c r="A25" s="59" t="s">
        <v>20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21">
        <f t="shared" ca="1" si="0"/>
        <v>1858.4</v>
      </c>
      <c r="O25" s="21">
        <f t="shared" ca="1" si="1"/>
        <v>2787.6</v>
      </c>
      <c r="P25" s="21">
        <v>4646</v>
      </c>
      <c r="Q25" s="5"/>
      <c r="R25" s="5"/>
      <c r="S25" s="5"/>
      <c r="T25" s="5"/>
      <c r="U25" s="5"/>
    </row>
    <row r="26" spans="1:27" ht="21" customHeight="1" x14ac:dyDescent="0.2">
      <c r="A26" s="52" t="s">
        <v>21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"/>
      <c r="R26" s="5"/>
      <c r="S26" s="5"/>
      <c r="T26" s="5"/>
      <c r="U26" s="5"/>
    </row>
    <row r="27" spans="1:27" ht="55.5" customHeight="1" x14ac:dyDescent="0.2">
      <c r="A27" s="10" t="s">
        <v>44</v>
      </c>
      <c r="B27" s="11" t="s">
        <v>22</v>
      </c>
      <c r="C27" s="11" t="s">
        <v>23</v>
      </c>
      <c r="D27" s="12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1,1*0,021</v>
      </c>
      <c r="E27" s="13">
        <f>IF( 1 = "","0",1)</f>
        <v>1</v>
      </c>
      <c r="F27" s="13" t="str">
        <f ca="1">IF(INDIRECT("J" &amp; ROW())="текущие цены", IF(INDIRECT("G" &amp; ROW())="", "0", "0"), IF(INDIRECT("G" &amp; ROW())="", "3118.5","135000"))</f>
        <v>135000</v>
      </c>
      <c r="G27" s="13" t="s">
        <v>24</v>
      </c>
      <c r="H27" s="13"/>
      <c r="I27" s="13">
        <v>1</v>
      </c>
      <c r="J27" s="13" t="s">
        <v>10</v>
      </c>
      <c r="K27" s="28" t="s">
        <v>25</v>
      </c>
      <c r="L27" s="13"/>
      <c r="M27" s="13" t="s">
        <v>26</v>
      </c>
      <c r="N27" s="14">
        <f ca="1">IF(ISNUMBER(INDIRECT("P" &amp; ROW())), INDIRECT("P" &amp; ROW())*0.4, " ")</f>
        <v>1247.6000000000001</v>
      </c>
      <c r="O27" s="14">
        <f ca="1">IF(ISNUMBER(INDIRECT("P" &amp; ROW())), INDIRECT("P" &amp; ROW())*0.6, " ")</f>
        <v>1871.3999999999999</v>
      </c>
      <c r="P27" s="14">
        <f ca="1">IF(INDIRECT("J" &amp; ROW())="текущие цены", 0, 3119)</f>
        <v>3119</v>
      </c>
      <c r="Q27" s="5"/>
      <c r="R27" s="5"/>
      <c r="S27" s="5"/>
      <c r="T27" s="5"/>
      <c r="U27" s="5"/>
    </row>
    <row r="28" spans="1:27" ht="48" customHeight="1" x14ac:dyDescent="0.2">
      <c r="A28" s="10" t="s">
        <v>45</v>
      </c>
      <c r="B28" s="11" t="s">
        <v>22</v>
      </c>
      <c r="C28" s="11" t="s">
        <v>27</v>
      </c>
      <c r="D28" s="12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4514 * 10 * 1,1*0,021</v>
      </c>
      <c r="E28" s="13">
        <f>IF( 4514 = "","0",4514)</f>
        <v>4514</v>
      </c>
      <c r="F28" s="13" t="str">
        <f ca="1">IF(INDIRECT("J" &amp; ROW())="текущие цены", IF(INDIRECT("G" &amp; ROW())="", "0", "0"), IF(INDIRECT("G" &amp; ROW())="", "0.23","10"))</f>
        <v>10</v>
      </c>
      <c r="G28" s="13" t="s">
        <v>24</v>
      </c>
      <c r="H28" s="13"/>
      <c r="I28" s="13">
        <v>4514</v>
      </c>
      <c r="J28" s="13" t="s">
        <v>10</v>
      </c>
      <c r="K28" s="28" t="s">
        <v>25</v>
      </c>
      <c r="L28" s="13"/>
      <c r="M28" s="13" t="s">
        <v>28</v>
      </c>
      <c r="N28" s="14">
        <f ca="1">IF(ISNUMBER(INDIRECT("P" &amp; ROW())), INDIRECT("P" &amp; ROW())*0.4, " ")</f>
        <v>415.20000000000005</v>
      </c>
      <c r="O28" s="14">
        <f ca="1">IF(ISNUMBER(INDIRECT("P" &amp; ROW())), INDIRECT("P" &amp; ROW())*0.6, " ")</f>
        <v>622.79999999999995</v>
      </c>
      <c r="P28" s="14">
        <f ca="1">IF(INDIRECT("J" &amp; ROW())="текущие цены", 0, 1038)</f>
        <v>1038</v>
      </c>
      <c r="Q28" s="5"/>
      <c r="R28" s="5"/>
      <c r="S28" s="5"/>
      <c r="T28" s="5"/>
      <c r="U28" s="5"/>
    </row>
    <row r="29" spans="1:27" ht="17.850000000000001" customHeight="1" x14ac:dyDescent="0.2">
      <c r="A29" s="77" t="s">
        <v>29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5"/>
      <c r="R29" s="5"/>
      <c r="S29" s="5"/>
      <c r="T29" s="5"/>
      <c r="U29" s="5"/>
    </row>
    <row r="30" spans="1:27" ht="75.75" customHeight="1" x14ac:dyDescent="0.2">
      <c r="A30" s="10" t="s">
        <v>46</v>
      </c>
      <c r="B30" s="11" t="s">
        <v>22</v>
      </c>
      <c r="C30" s="11" t="s">
        <v>23</v>
      </c>
      <c r="D30" s="12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1,1*0,021*0,04</v>
      </c>
      <c r="E30" s="13">
        <f>IF( 1 = "","0",1)</f>
        <v>1</v>
      </c>
      <c r="F30" s="13" t="str">
        <f ca="1">IF(INDIRECT("J" &amp; ROW())="текущие цены", IF(INDIRECT("G" &amp; ROW())="", "0", "0"), IF(INDIRECT("G" &amp; ROW())="", "124.74","135000"))</f>
        <v>135000</v>
      </c>
      <c r="G30" s="13" t="s">
        <v>30</v>
      </c>
      <c r="H30" s="13"/>
      <c r="I30" s="13">
        <v>1</v>
      </c>
      <c r="J30" s="13" t="s">
        <v>10</v>
      </c>
      <c r="K30" s="28" t="s">
        <v>31</v>
      </c>
      <c r="L30" s="13"/>
      <c r="M30" s="13" t="s">
        <v>26</v>
      </c>
      <c r="N30" s="14">
        <f ca="1">IF(ISNUMBER(INDIRECT("P" &amp; ROW())), INDIRECT("P" &amp; ROW())*0.4, " ")</f>
        <v>50</v>
      </c>
      <c r="O30" s="14">
        <f ca="1">IF(ISNUMBER(INDIRECT("P" &amp; ROW())), INDIRECT("P" &amp; ROW())*0.6, " ")</f>
        <v>75</v>
      </c>
      <c r="P30" s="14">
        <f ca="1">IF(INDIRECT("J" &amp; ROW())="текущие цены", 0, 125)</f>
        <v>125</v>
      </c>
      <c r="Q30" s="5"/>
      <c r="R30" s="5"/>
      <c r="S30" s="5"/>
      <c r="T30" s="5"/>
      <c r="U30" s="5"/>
    </row>
    <row r="31" spans="1:27" ht="78.75" x14ac:dyDescent="0.2">
      <c r="A31" s="10" t="s">
        <v>47</v>
      </c>
      <c r="B31" s="11" t="s">
        <v>22</v>
      </c>
      <c r="C31" s="11" t="s">
        <v>27</v>
      </c>
      <c r="D31" s="12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4514 * 10 * 1,1*0,021*0,04</v>
      </c>
      <c r="E31" s="13">
        <f>IF( 4514 = "","0",4514)</f>
        <v>4514</v>
      </c>
      <c r="F31" s="13" t="str">
        <f ca="1">IF(INDIRECT("J" &amp; ROW())="текущие цены", IF(INDIRECT("G" &amp; ROW())="", "0", "0"), IF(INDIRECT("G" &amp; ROW())="", "0.01","10"))</f>
        <v>10</v>
      </c>
      <c r="G31" s="13" t="s">
        <v>30</v>
      </c>
      <c r="H31" s="13"/>
      <c r="I31" s="13">
        <v>4514</v>
      </c>
      <c r="J31" s="13" t="s">
        <v>10</v>
      </c>
      <c r="K31" s="28" t="s">
        <v>31</v>
      </c>
      <c r="L31" s="13"/>
      <c r="M31" s="13" t="s">
        <v>28</v>
      </c>
      <c r="N31" s="14">
        <f ca="1">IF(ISNUMBER(INDIRECT("P" &amp; ROW())), INDIRECT("P" &amp; ROW())*0.4, " ")</f>
        <v>18</v>
      </c>
      <c r="O31" s="14">
        <f ca="1">IF(ISNUMBER(INDIRECT("P" &amp; ROW())), INDIRECT("P" &amp; ROW())*0.6, " ")</f>
        <v>27</v>
      </c>
      <c r="P31" s="14">
        <f ca="1">IF(INDIRECT("J" &amp; ROW())="текущие цены", 0, 45)</f>
        <v>45</v>
      </c>
      <c r="Q31" s="5"/>
      <c r="R31" s="5"/>
      <c r="S31" s="5"/>
      <c r="T31" s="5"/>
      <c r="U31" s="5"/>
    </row>
    <row r="32" spans="1:27" ht="17.850000000000001" customHeight="1" x14ac:dyDescent="0.2">
      <c r="A32" s="77" t="s">
        <v>32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5"/>
      <c r="R32" s="5"/>
      <c r="S32" s="5"/>
      <c r="T32" s="5"/>
      <c r="U32" s="5"/>
    </row>
    <row r="33" spans="1:21" ht="67.5" x14ac:dyDescent="0.2">
      <c r="A33" s="10" t="s">
        <v>48</v>
      </c>
      <c r="B33" s="11" t="s">
        <v>22</v>
      </c>
      <c r="C33" s="11" t="s">
        <v>23</v>
      </c>
      <c r="D33" s="12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1 * 135000 * 1,1*0,021*0,05</v>
      </c>
      <c r="E33" s="13">
        <f>IF( 1 = "","0",1)</f>
        <v>1</v>
      </c>
      <c r="F33" s="13" t="str">
        <f ca="1">IF(INDIRECT("J" &amp; ROW())="текущие цены", IF(INDIRECT("G" &amp; ROW())="", "0", "0"), IF(INDIRECT("G" &amp; ROW())="", "155.93","135000"))</f>
        <v>135000</v>
      </c>
      <c r="G33" s="13" t="s">
        <v>33</v>
      </c>
      <c r="H33" s="13"/>
      <c r="I33" s="13">
        <v>1</v>
      </c>
      <c r="J33" s="13" t="s">
        <v>10</v>
      </c>
      <c r="K33" s="28" t="s">
        <v>34</v>
      </c>
      <c r="L33" s="13"/>
      <c r="M33" s="13" t="s">
        <v>26</v>
      </c>
      <c r="N33" s="14">
        <f ca="1">IF(ISNUMBER(INDIRECT("P" &amp; ROW())), INDIRECT("P" &amp; ROW())*0.4, " ")</f>
        <v>62.400000000000006</v>
      </c>
      <c r="O33" s="14">
        <f ca="1">IF(ISNUMBER(INDIRECT("P" &amp; ROW())), INDIRECT("P" &amp; ROW())*0.6, " ")</f>
        <v>93.6</v>
      </c>
      <c r="P33" s="14">
        <f ca="1">IF(INDIRECT("J" &amp; ROW())="текущие цены", 0, 156)</f>
        <v>156</v>
      </c>
      <c r="Q33" s="5"/>
      <c r="R33" s="5"/>
      <c r="S33" s="5"/>
      <c r="T33" s="5"/>
      <c r="U33" s="5"/>
    </row>
    <row r="34" spans="1:21" ht="69.75" customHeight="1" x14ac:dyDescent="0.2">
      <c r="A34" s="15" t="s">
        <v>49</v>
      </c>
      <c r="B34" s="16" t="s">
        <v>22</v>
      </c>
      <c r="C34" s="16" t="s">
        <v>27</v>
      </c>
      <c r="D34" s="17" t="str">
        <f ca="1">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</f>
        <v>4514 * 10 * 1,1*0,021*0,05</v>
      </c>
      <c r="E34" s="18">
        <f>IF( 4514 = "","0",4514)</f>
        <v>4514</v>
      </c>
      <c r="F34" s="18" t="str">
        <f ca="1">IF(INDIRECT("J" &amp; ROW())="текущие цены", IF(INDIRECT("G" &amp; ROW())="", "0", "0"), IF(INDIRECT("G" &amp; ROW())="", "0.01","10"))</f>
        <v>10</v>
      </c>
      <c r="G34" s="18" t="s">
        <v>33</v>
      </c>
      <c r="H34" s="18"/>
      <c r="I34" s="18">
        <v>4514</v>
      </c>
      <c r="J34" s="18" t="s">
        <v>10</v>
      </c>
      <c r="K34" s="29" t="s">
        <v>34</v>
      </c>
      <c r="L34" s="18"/>
      <c r="M34" s="18" t="s">
        <v>28</v>
      </c>
      <c r="N34" s="19">
        <f ca="1">IF(ISNUMBER(INDIRECT("P" &amp; ROW())), INDIRECT("P" &amp; ROW())*0.4, " ")</f>
        <v>18</v>
      </c>
      <c r="O34" s="19">
        <f ca="1">IF(ISNUMBER(INDIRECT("P" &amp; ROW())), INDIRECT("P" &amp; ROW())*0.6, " ")</f>
        <v>27</v>
      </c>
      <c r="P34" s="19">
        <f ca="1">IF(INDIRECT("J" &amp; ROW())="текущие цены", 0, 45)</f>
        <v>45</v>
      </c>
      <c r="Q34" s="5"/>
      <c r="R34" s="5"/>
      <c r="S34" s="5"/>
      <c r="T34" s="5"/>
      <c r="U34" s="5"/>
    </row>
    <row r="35" spans="1:21" ht="14.25" customHeight="1" x14ac:dyDescent="0.2">
      <c r="A35" s="56" t="s">
        <v>17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14">
        <f t="shared" ref="N35:N46" ca="1" si="2">IF(ISNUMBER(INDIRECT("P" &amp; ROW())), INDIRECT("P" &amp; ROW()) * 0.4, " ")</f>
        <v>1811.2</v>
      </c>
      <c r="O35" s="14">
        <f t="shared" ref="O35:O46" ca="1" si="3">IF(ISNUMBER(INDIRECT("P" &amp; ROW())), INDIRECT("P" &amp; ROW()) * 0.6, " ")</f>
        <v>2716.7999999999997</v>
      </c>
      <c r="P35" s="14">
        <v>4528</v>
      </c>
      <c r="Q35" s="5"/>
      <c r="R35" s="5"/>
      <c r="S35" s="5"/>
      <c r="T35" s="5"/>
      <c r="U35" s="5"/>
    </row>
    <row r="36" spans="1:21" ht="14.25" customHeight="1" x14ac:dyDescent="0.2">
      <c r="A36" s="57" t="s">
        <v>35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20" t="str">
        <f t="shared" ca="1" si="2"/>
        <v xml:space="preserve"> </v>
      </c>
      <c r="O36" s="20" t="str">
        <f t="shared" ca="1" si="3"/>
        <v xml:space="preserve"> </v>
      </c>
      <c r="P36" s="20"/>
      <c r="Q36" s="5"/>
      <c r="R36" s="5"/>
      <c r="S36" s="5"/>
      <c r="T36" s="5"/>
      <c r="U36" s="5"/>
    </row>
    <row r="37" spans="1:21" ht="14.25" customHeight="1" x14ac:dyDescent="0.2">
      <c r="A37" s="56" t="s">
        <v>36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14">
        <f t="shared" ca="1" si="2"/>
        <v>1811.2</v>
      </c>
      <c r="O37" s="14">
        <f t="shared" ca="1" si="3"/>
        <v>2716.7999999999997</v>
      </c>
      <c r="P37" s="14">
        <v>4528</v>
      </c>
      <c r="Q37" s="5"/>
      <c r="R37" s="5"/>
      <c r="S37" s="5"/>
      <c r="T37" s="5"/>
      <c r="U37" s="5"/>
    </row>
    <row r="38" spans="1:21" ht="14.25" customHeight="1" x14ac:dyDescent="0.2">
      <c r="A38" s="56" t="s">
        <v>68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14">
        <f t="shared" ca="1" si="2"/>
        <v>7100</v>
      </c>
      <c r="O38" s="14">
        <f t="shared" ca="1" si="3"/>
        <v>10650</v>
      </c>
      <c r="P38" s="14">
        <v>17750</v>
      </c>
      <c r="Q38" s="5"/>
      <c r="R38" s="5"/>
      <c r="S38" s="5"/>
      <c r="T38" s="5"/>
      <c r="U38" s="5"/>
    </row>
    <row r="39" spans="1:21" ht="14.25" customHeight="1" x14ac:dyDescent="0.2">
      <c r="A39" s="59" t="s">
        <v>37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21">
        <f t="shared" ca="1" si="2"/>
        <v>7100</v>
      </c>
      <c r="O39" s="21">
        <f t="shared" ca="1" si="3"/>
        <v>10650</v>
      </c>
      <c r="P39" s="21">
        <v>17750</v>
      </c>
      <c r="Q39" s="5"/>
      <c r="R39" s="5"/>
      <c r="S39" s="5"/>
      <c r="T39" s="5"/>
      <c r="U39" s="5"/>
    </row>
    <row r="40" spans="1:21" ht="14.25" customHeight="1" x14ac:dyDescent="0.2">
      <c r="A40" s="43" t="s">
        <v>38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22">
        <f t="shared" ca="1" si="2"/>
        <v>1872.8000000000002</v>
      </c>
      <c r="O40" s="22">
        <f t="shared" ca="1" si="3"/>
        <v>2809.2</v>
      </c>
      <c r="P40" s="22">
        <v>4682</v>
      </c>
      <c r="Q40" s="5"/>
      <c r="R40" s="5"/>
      <c r="S40" s="5"/>
      <c r="T40" s="5"/>
      <c r="U40" s="5"/>
    </row>
    <row r="41" spans="1:21" ht="14.25" customHeight="1" x14ac:dyDescent="0.2">
      <c r="A41" s="76" t="s">
        <v>39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23" t="str">
        <f t="shared" ca="1" si="2"/>
        <v xml:space="preserve"> </v>
      </c>
      <c r="O41" s="23" t="str">
        <f t="shared" ca="1" si="3"/>
        <v xml:space="preserve"> </v>
      </c>
      <c r="P41" s="23"/>
      <c r="Q41" s="5"/>
      <c r="R41" s="5"/>
      <c r="S41" s="5"/>
      <c r="T41" s="5"/>
      <c r="U41" s="5"/>
    </row>
    <row r="42" spans="1:21" ht="14.25" customHeight="1" x14ac:dyDescent="0.2">
      <c r="A42" s="43" t="s">
        <v>69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22">
        <f t="shared" ca="1" si="2"/>
        <v>1858.4</v>
      </c>
      <c r="O42" s="22">
        <f t="shared" ca="1" si="3"/>
        <v>2787.6</v>
      </c>
      <c r="P42" s="22">
        <v>4646</v>
      </c>
      <c r="Q42" s="5"/>
      <c r="R42" s="5"/>
      <c r="S42" s="5"/>
      <c r="T42" s="5"/>
      <c r="U42" s="5"/>
    </row>
    <row r="43" spans="1:21" ht="14.25" customHeight="1" x14ac:dyDescent="0.2">
      <c r="A43" s="43" t="s">
        <v>70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22">
        <f t="shared" ca="1" si="2"/>
        <v>7100</v>
      </c>
      <c r="O43" s="22">
        <f t="shared" ca="1" si="3"/>
        <v>10650</v>
      </c>
      <c r="P43" s="22">
        <v>17750</v>
      </c>
      <c r="Q43" s="5"/>
      <c r="R43" s="5"/>
      <c r="S43" s="5"/>
      <c r="T43" s="5"/>
      <c r="U43" s="5"/>
    </row>
    <row r="44" spans="1:21" ht="14.25" customHeight="1" x14ac:dyDescent="0.2">
      <c r="A44" s="43" t="s">
        <v>19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22">
        <f t="shared" ca="1" si="2"/>
        <v>8958.4</v>
      </c>
      <c r="O44" s="22">
        <f t="shared" ca="1" si="3"/>
        <v>13437.6</v>
      </c>
      <c r="P44" s="22">
        <v>22396</v>
      </c>
      <c r="Q44" s="5"/>
      <c r="R44" s="5"/>
      <c r="S44" s="5"/>
      <c r="T44" s="5"/>
      <c r="U44" s="5"/>
    </row>
    <row r="45" spans="1:21" ht="14.25" customHeight="1" x14ac:dyDescent="0.2">
      <c r="A45" s="43" t="s">
        <v>40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22">
        <f t="shared" ca="1" si="2"/>
        <v>1612.5120000000002</v>
      </c>
      <c r="O45" s="22">
        <f t="shared" ca="1" si="3"/>
        <v>2418.768</v>
      </c>
      <c r="P45" s="22">
        <v>4031.28</v>
      </c>
      <c r="Q45" s="5"/>
      <c r="R45" s="5"/>
      <c r="S45" s="5"/>
      <c r="T45" s="5"/>
      <c r="U45" s="5"/>
    </row>
    <row r="46" spans="1:21" ht="14.25" customHeight="1" x14ac:dyDescent="0.2">
      <c r="A46" s="76" t="s">
        <v>41</v>
      </c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23">
        <f t="shared" ca="1" si="2"/>
        <v>10570.912</v>
      </c>
      <c r="O46" s="23">
        <f t="shared" ca="1" si="3"/>
        <v>15856.367999999999</v>
      </c>
      <c r="P46" s="23">
        <v>26427.279999999999</v>
      </c>
      <c r="Q46" s="5"/>
      <c r="R46" s="5"/>
      <c r="S46" s="5"/>
      <c r="T46" s="5"/>
      <c r="U46" s="5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6"/>
      <c r="L47" s="2"/>
      <c r="M47" s="2"/>
      <c r="N47" s="2"/>
      <c r="O47" s="2"/>
      <c r="P47" s="2"/>
      <c r="Q47" s="6"/>
      <c r="R47" s="6"/>
      <c r="S47" s="6"/>
      <c r="T47" s="6"/>
      <c r="U47" s="6"/>
    </row>
    <row r="48" spans="1:21" s="30" customFormat="1" ht="12" customHeight="1" x14ac:dyDescent="0.2">
      <c r="A48" s="72" t="s">
        <v>62</v>
      </c>
      <c r="B48" s="73"/>
      <c r="C48" s="73"/>
      <c r="D48" s="73"/>
      <c r="E48" s="73"/>
      <c r="F48" s="73"/>
      <c r="G48" s="73"/>
      <c r="H48" s="73"/>
      <c r="I48" s="65"/>
      <c r="J48" s="65"/>
      <c r="K48" s="65"/>
      <c r="L48" s="65"/>
      <c r="M48" s="65"/>
      <c r="N48" s="65"/>
      <c r="O48" s="65"/>
      <c r="P48" s="65"/>
      <c r="Q48" s="65"/>
    </row>
    <row r="49" spans="1:23" s="30" customFormat="1" ht="9" customHeight="1" x14ac:dyDescent="0.2">
      <c r="A49" s="74" t="s">
        <v>61</v>
      </c>
      <c r="B49" s="75"/>
      <c r="C49" s="75"/>
      <c r="D49" s="75"/>
      <c r="E49" s="75"/>
      <c r="F49" s="75"/>
      <c r="G49" s="75"/>
      <c r="H49" s="75"/>
      <c r="Q49" s="31"/>
    </row>
    <row r="50" spans="1:23" s="30" customFormat="1" ht="12" customHeight="1" x14ac:dyDescent="0.2">
      <c r="A50" s="72" t="s">
        <v>63</v>
      </c>
      <c r="B50" s="72"/>
      <c r="C50" s="72"/>
      <c r="D50" s="72"/>
      <c r="E50" s="72"/>
      <c r="F50" s="72"/>
      <c r="G50" s="72"/>
      <c r="H50" s="72"/>
      <c r="I50" s="65"/>
      <c r="J50" s="65"/>
      <c r="K50" s="65"/>
      <c r="L50" s="65"/>
      <c r="M50" s="65"/>
      <c r="N50" s="65"/>
      <c r="O50" s="65"/>
      <c r="P50" s="65"/>
      <c r="Q50" s="65"/>
    </row>
    <row r="51" spans="1:23" s="30" customFormat="1" ht="12.75" customHeight="1" x14ac:dyDescent="0.2">
      <c r="A51" s="74" t="s">
        <v>61</v>
      </c>
      <c r="B51" s="75"/>
      <c r="C51" s="75"/>
      <c r="D51" s="75"/>
      <c r="E51" s="75"/>
      <c r="F51" s="75"/>
      <c r="G51" s="75"/>
      <c r="H51" s="75"/>
      <c r="W51" s="31"/>
    </row>
  </sheetData>
  <mergeCells count="44">
    <mergeCell ref="A38:M38"/>
    <mergeCell ref="A39:M39"/>
    <mergeCell ref="A40:M40"/>
    <mergeCell ref="A46:M46"/>
    <mergeCell ref="A42:M42"/>
    <mergeCell ref="A29:P29"/>
    <mergeCell ref="A32:P32"/>
    <mergeCell ref="A35:M35"/>
    <mergeCell ref="A36:M36"/>
    <mergeCell ref="A37:M37"/>
    <mergeCell ref="A48:Q48"/>
    <mergeCell ref="A49:H49"/>
    <mergeCell ref="A50:Q50"/>
    <mergeCell ref="A51:H51"/>
    <mergeCell ref="A41:M41"/>
    <mergeCell ref="A3:B3"/>
    <mergeCell ref="H3:Q3"/>
    <mergeCell ref="A4:C4"/>
    <mergeCell ref="H4:M4"/>
    <mergeCell ref="A5:C5"/>
    <mergeCell ref="H5:N5"/>
    <mergeCell ref="K16:K17"/>
    <mergeCell ref="A25:M25"/>
    <mergeCell ref="A10:M10"/>
    <mergeCell ref="A11:B11"/>
    <mergeCell ref="A12:B12"/>
    <mergeCell ref="A14:Q14"/>
    <mergeCell ref="A15:G15"/>
    <mergeCell ref="A43:M43"/>
    <mergeCell ref="A44:M44"/>
    <mergeCell ref="A45:M45"/>
    <mergeCell ref="N16:P17"/>
    <mergeCell ref="A1:D1"/>
    <mergeCell ref="A26:P26"/>
    <mergeCell ref="A16:A17"/>
    <mergeCell ref="B16:B17"/>
    <mergeCell ref="A19:P19"/>
    <mergeCell ref="A22:M22"/>
    <mergeCell ref="A23:M23"/>
    <mergeCell ref="C16:C17"/>
    <mergeCell ref="D16:D17"/>
    <mergeCell ref="A24:M24"/>
    <mergeCell ref="M16:M17"/>
    <mergeCell ref="I16:I17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87" fitToHeight="30000" orientation="landscape" r:id="rId1"/>
  <headerFooter alignWithMargins="0"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19050</xdr:colOff>
                    <xdr:row>16</xdr:row>
                    <xdr:rowOff>895350</xdr:rowOff>
                  </from>
                  <to>
                    <xdr:col>1</xdr:col>
                    <xdr:colOff>1152525</xdr:colOff>
                    <xdr:row>16</xdr:row>
                    <xdr:rowOff>1085850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2"/>
  <sheetViews>
    <sheetView workbookViewId="0">
      <selection activeCell="A12" sqref="A12"/>
    </sheetView>
  </sheetViews>
  <sheetFormatPr defaultRowHeight="12.75" x14ac:dyDescent="0.2"/>
  <sheetData>
    <row r="12" spans="1:1" x14ac:dyDescent="0.2">
      <c r="A12">
        <f>MAX('Мои данные'!L:L)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Вспомогательный</vt:lpstr>
      <vt:lpstr>'Мои данные'!Заголовки_для_печати</vt:lpstr>
      <vt:lpstr>'Мои данные'!Область_печати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Линькова Наталья Григорьевна</dc:creator>
  <dc:description>17.05.2010</dc:description>
  <cp:lastModifiedBy>Игнатьева Маргарита Олеговна</cp:lastModifiedBy>
  <cp:lastPrinted>2017-02-20T00:42:49Z</cp:lastPrinted>
  <dcterms:created xsi:type="dcterms:W3CDTF">2007-02-21T08:42:24Z</dcterms:created>
  <dcterms:modified xsi:type="dcterms:W3CDTF">2017-02-20T00:42:53Z</dcterms:modified>
</cp:coreProperties>
</file>