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pdc\Общий доступ\Реализация капитального ремонта\2017\Сметы на аукцион\2017-05\"/>
    </mc:Choice>
  </mc:AlternateContent>
  <bookViews>
    <workbookView xWindow="-15" yWindow="5940" windowWidth="15480" windowHeight="5775"/>
  </bookViews>
  <sheets>
    <sheet name="Мои данные" sheetId="1" r:id="rId1"/>
    <sheet name="Вспомогательный" sheetId="2" state="hidden" r:id="rId2"/>
  </sheets>
  <definedNames>
    <definedName name="_xlnm.Print_Titles" localSheetId="0">'Мои данные'!$17:$17</definedName>
    <definedName name="_xlnm.Print_Area" localSheetId="0">'Мои данные'!$A$1:$P$59</definedName>
  </definedNames>
  <calcPr calcId="152511"/>
</workbook>
</file>

<file path=xl/calcChain.xml><?xml version="1.0" encoding="utf-8"?>
<calcChain xmlns="http://schemas.openxmlformats.org/spreadsheetml/2006/main">
  <c r="E40" i="1" l="1"/>
  <c r="E41" i="1"/>
  <c r="E33" i="1"/>
  <c r="E34" i="1"/>
  <c r="E26" i="1"/>
  <c r="E27" i="1"/>
  <c r="E19" i="1"/>
  <c r="E20" i="1"/>
  <c r="A12" i="2"/>
  <c r="O29" i="1"/>
  <c r="O49" i="1"/>
  <c r="P19" i="1"/>
  <c r="O28" i="1"/>
  <c r="F40" i="1"/>
  <c r="O35" i="1"/>
  <c r="O37" i="1"/>
  <c r="N28" i="1"/>
  <c r="N29" i="1"/>
  <c r="O23" i="1"/>
  <c r="P41" i="1"/>
  <c r="N48" i="1"/>
  <c r="N23" i="1"/>
  <c r="O41" i="1"/>
  <c r="O50" i="1"/>
  <c r="N38" i="1"/>
  <c r="N49" i="1"/>
  <c r="O22" i="1"/>
  <c r="N44" i="1"/>
  <c r="O24" i="1"/>
  <c r="O31" i="1"/>
  <c r="P34" i="1"/>
  <c r="F20" i="1"/>
  <c r="F33" i="1"/>
  <c r="O30" i="1"/>
  <c r="N47" i="1"/>
  <c r="F27" i="1"/>
  <c r="N30" i="1"/>
  <c r="F34" i="1"/>
  <c r="P27" i="1"/>
  <c r="F41" i="1"/>
  <c r="P40" i="1"/>
  <c r="O40" i="1"/>
  <c r="D40" i="1"/>
  <c r="N19" i="1"/>
  <c r="D27" i="1"/>
  <c r="O45" i="1"/>
  <c r="N45" i="1"/>
  <c r="O44" i="1"/>
  <c r="N31" i="1"/>
  <c r="N36" i="1"/>
  <c r="N35" i="1"/>
  <c r="O42" i="1"/>
  <c r="N46" i="1"/>
  <c r="N22" i="1"/>
  <c r="O51" i="1"/>
  <c r="N24" i="1"/>
  <c r="N52" i="1"/>
  <c r="O38" i="1"/>
  <c r="O47" i="1"/>
  <c r="O48" i="1"/>
  <c r="F19" i="1"/>
  <c r="D19" i="1" s="1"/>
  <c r="N21" i="1"/>
  <c r="O43" i="1"/>
  <c r="N43" i="1"/>
  <c r="N37" i="1"/>
  <c r="O36" i="1"/>
  <c r="P33" i="1"/>
  <c r="O34" i="1"/>
  <c r="N50" i="1"/>
  <c r="P26" i="1"/>
  <c r="O26" i="1" s="1"/>
  <c r="N51" i="1"/>
  <c r="O46" i="1"/>
  <c r="O19" i="1"/>
  <c r="N41" i="1"/>
  <c r="N42" i="1"/>
  <c r="P20" i="1"/>
  <c r="O20" i="1" s="1"/>
  <c r="O52" i="1"/>
  <c r="O21" i="1"/>
  <c r="F26" i="1"/>
  <c r="N26" i="1"/>
  <c r="N27" i="1"/>
  <c r="N40" i="1"/>
  <c r="D41" i="1"/>
  <c r="N20" i="1"/>
  <c r="O27" i="1"/>
  <c r="O33" i="1"/>
  <c r="D26" i="1" l="1"/>
  <c r="D34" i="1"/>
  <c r="D20" i="1"/>
  <c r="N33" i="1"/>
  <c r="D33" i="1"/>
  <c r="N34" i="1"/>
</calcChain>
</file>

<file path=xl/comments1.xml><?xml version="1.0" encoding="utf-8"?>
<comments xmlns="http://schemas.openxmlformats.org/spreadsheetml/2006/main">
  <authors>
    <author>Сергей</author>
    <author>Alex</author>
    <author>Alex Sosedko</author>
    <author>YuKazaeva</author>
  </authors>
  <commentList>
    <comment ref="A1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расчета&gt;</t>
        </r>
      </text>
    </comment>
    <comment ref="A6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стройки&gt;, &lt;Наименование объекта&gt;, &lt;Наименование локальной сметы&gt;</t>
        </r>
      </text>
    </comment>
    <comment ref="A11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&lt;Подрядчик&gt;</t>
        </r>
      </text>
    </comment>
    <comment ref="A1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&lt;Заказчик&gt;</t>
        </r>
      </text>
    </comment>
    <comment ref="A14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&lt;Подрядчик&gt;</t>
        </r>
      </text>
    </comment>
    <comment ref="A1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1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17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17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17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=IF(&lt;Пустой идентификатор&gt;&lt;Количество всего (физ. объем) по позиции&gt; = "","0",&lt;Количество всего (физ. объем) по позиции&gt;)</t>
        </r>
      </text>
    </comment>
    <comment ref="F17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1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1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1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17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17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17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раздела&gt;</t>
        </r>
      </text>
    </comment>
    <comment ref="M1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&lt;Ед. измерения по расценке&gt;</t>
        </r>
      </text>
    </comment>
    <comment ref="N17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ROW())*0.4, " ")&lt;Пустой идентификатор&gt; </t>
        </r>
      </text>
    </comment>
    <comment ref="O17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ROW())*0.6, " ")&lt;Пустой идентификатор&gt; </t>
        </r>
      </text>
    </comment>
    <comment ref="P17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ценах&gt;, &lt;ИТОГО ПЗ по позиции для БИМ&gt;) 
</t>
        </r>
      </text>
    </comment>
    <comment ref="A46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N46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0.4, " ")&lt;Пустой идентификатор&gt;</t>
        </r>
      </text>
    </comment>
    <comment ref="O46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0.6, " ")&lt;Пустой идентификатор&gt;</t>
        </r>
      </text>
    </comment>
    <comment ref="P46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(итоги)&gt;</t>
        </r>
      </text>
    </comment>
    <comment ref="C58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&lt;Составил&gt;</t>
        </r>
      </text>
    </comment>
    <comment ref="A6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&lt;Комментарии к смете&gt;</t>
        </r>
      </text>
    </comment>
  </commentList>
</comments>
</file>

<file path=xl/sharedStrings.xml><?xml version="1.0" encoding="utf-8"?>
<sst xmlns="http://schemas.openxmlformats.org/spreadsheetml/2006/main" count="94" uniqueCount="63">
  <si>
    <t>№ пп</t>
  </si>
  <si>
    <t>Характеристика предприятия,
здания, сооружения или вид работ</t>
  </si>
  <si>
    <t>Номер частей, глав, таблиц,
параграфов и пунктов указаний к
разделу справочника базовых цен
на проектные и изыскательские
работы для строителей</t>
  </si>
  <si>
    <t>Расчет стоимости: (a+bx)*Kj или
(стоимость
строительно-монтажных
работ)*проц./ 100 или количество * цена, руб.</t>
  </si>
  <si>
    <t>Раздел 1. Обмерные работы (ТС). Здание шестиэтажное</t>
  </si>
  <si>
    <t>Обмеры внутрицеховых трубопроводов различного назначения из стандартных стальных цельнотянутых труб, расположенных на высоте от пола: до 3 м</t>
  </si>
  <si>
    <t>СБЦИ5-31-1
"Инженерно-геодезические изыскания (2006 г.)"</t>
  </si>
  <si>
    <t>19 / 10</t>
  </si>
  <si>
    <t>цены 2001</t>
  </si>
  <si>
    <t>10 участков трубопровода</t>
  </si>
  <si>
    <t>Составление планов разрезов и схем расположения трубопроводов по готовым зарисовкам и эскизам с увязкой всех размеров</t>
  </si>
  <si>
    <t>СБЦИ5-50-1
"Инженерно-геодезические изыскания (2006 г.)"</t>
  </si>
  <si>
    <t>Итого прямые затраты по разделу в ценах 2001г.</t>
  </si>
  <si>
    <t>Итоги по разделу 1 Обмерные работы (ТС). Здание шестиэтажное :</t>
  </si>
  <si>
    <t xml:space="preserve">  Всего с учетом "Инженерные изыскания (приложение 3 к письму Минстроя России от 03.06.2016 №17269-ХМ/09) СМР=3,93"</t>
  </si>
  <si>
    <t xml:space="preserve">  Итого по разделу 1 Обмерные работы (ТС). Здание шестиэтажное</t>
  </si>
  <si>
    <t>Раздел 2. Проектные работы  (ТС)</t>
  </si>
  <si>
    <t>Жилые дома: шестиэтажные</t>
  </si>
  <si>
    <t>СБЦП05-1-1-6-А
/Таблица: СБЦП05-1-1-6 параметр: А/ "Кап. ремонт зданий и сооружений жилищно-гражд. назн. (2012 г.)"</t>
  </si>
  <si>
    <t>0,3*0,06</t>
  </si>
  <si>
    <t>(ОП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ПЗ=0,3;
Таб.12 п.13 Ремонт (замена) систем отопления и вентиляции: здания каркасные многоэтажные - 6,0% ПЗ=0,06)</t>
  </si>
  <si>
    <t>объект</t>
  </si>
  <si>
    <t>СБЦП05-1-1-6-Б
/Таблица: СБЦП05-1-1-6 параметр: Б/ "Кап. ремонт зданий и сооружений жилищно-гражд. назн. (2012 г.)"</t>
  </si>
  <si>
    <t>м3</t>
  </si>
  <si>
    <t>Итоги по разделу 2 Проектные работы  (ТС) :</t>
  </si>
  <si>
    <t xml:space="preserve">  Всего с учетом "Проектные работы (приложение 3 к письму Минстроя России от 03. 06.2016 №17269-ХМ/09) СМР=3,92"</t>
  </si>
  <si>
    <t xml:space="preserve">  Итого по разделу 2 Проектные работы  (ТС)</t>
  </si>
  <si>
    <t>Раздел 3. ПОС</t>
  </si>
  <si>
    <t>0,3*0,04*0,06</t>
  </si>
  <si>
    <t>(ОП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ПЗ=0,3;
Таб.12 п.18 Проект организации строительства (ПОС): здания бескаркасные многоэтажные - 4,0% ПЗ=0,04;
Таб.12 п.13 Ремонт (замена) систем отопления и вентиляции: здания каркасные многоэтажные - 6,0% ПЗ=0,06)</t>
  </si>
  <si>
    <t>Итоги по разделу 3 ПОС :</t>
  </si>
  <si>
    <t xml:space="preserve">  Итого по разделу 3 ПОС</t>
  </si>
  <si>
    <t>Раздел 4. Сметная документация</t>
  </si>
  <si>
    <t>0,3*0,05*0,06</t>
  </si>
  <si>
    <t>(ОП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ПЗ=0,3;
Таб.12 п.19 Сметная документация: здания бескаркасные многоэтажные - 5,0% ПЗ=0,05;
Таб.12 п.13 Ремонт (замена) систем отопления и вентиляции: здания каркасные многоэтажные - 6,0% ПЗ=0,06)</t>
  </si>
  <si>
    <t>Итоги по разделу 4 Сметная документация :</t>
  </si>
  <si>
    <t xml:space="preserve">  Итого по разделу 4 Сметная документация</t>
  </si>
  <si>
    <t>Итого прямые затраты по смете в ценах 2001г.</t>
  </si>
  <si>
    <t>Итоги по смете:</t>
  </si>
  <si>
    <t xml:space="preserve">  Итого Поз. 1-2 "Инженерные изыскания (приложение 3 к письму Минстроя России от 03.06.2016 №17269-ХМ/09) СМР=3,93"</t>
  </si>
  <si>
    <t xml:space="preserve">  Итого Поз. 3-8 "Проектные работы (приложение 3 к письму Минстроя России от 03. 06.2016 №17269-ХМ/09) СМР=3,92"</t>
  </si>
  <si>
    <t xml:space="preserve">  Итого</t>
  </si>
  <si>
    <t xml:space="preserve">  НДС 18%</t>
  </si>
  <si>
    <t xml:space="preserve">  ВСЕГО по смете</t>
  </si>
  <si>
    <t>Обоснование</t>
  </si>
  <si>
    <t>Ед.изм.</t>
  </si>
  <si>
    <t>Стоимость работ, руб. всего</t>
  </si>
  <si>
    <t>Объем</t>
  </si>
  <si>
    <t>СМЕТА №</t>
  </si>
  <si>
    <t xml:space="preserve">                                                                                                                                        </t>
  </si>
  <si>
    <t>на проектные работы</t>
  </si>
  <si>
    <t>Наименование организации заказчика      НО "Хабаровский краевой фонд капитального ремонта"</t>
  </si>
  <si>
    <t>Наименование  объекта    6-х  этажный жилой дом по адресу:  Хабаровский край, р-он Хабаровский, с.Ракитное, ул.Школьная, д.20</t>
  </si>
  <si>
    <t>Год постройки                   1996</t>
  </si>
  <si>
    <t>Объем здания, м3              18343</t>
  </si>
  <si>
    <t>Здание жилое                     6 этажей    3 подъезда</t>
  </si>
  <si>
    <t>(должность, подпись, расшифровка)</t>
  </si>
  <si>
    <t xml:space="preserve">Составил: главный специалист СО НО "Хабаровский краевой фонд капитального ремонта" _____________________/Н.Г.Линькова   </t>
  </si>
  <si>
    <t xml:space="preserve">                                           Проверил : Начальник СО НО "Хабаровский краевой фонд капитального ремонта"____________________/ _____________Е.С. Сорокина</t>
  </si>
  <si>
    <t>УТВЕРЖДАЮ:</t>
  </si>
  <si>
    <t>Директор НО "Хабаровский краевой фонд капитального ремонта"</t>
  </si>
  <si>
    <t>___________________А.В.Сидорова</t>
  </si>
  <si>
    <t>Вид проектных или изыскательских работ:   На разработку проектной документации на капитальный ремонт внутридомомвой инженерной системы теплоснабжения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</si>
</sst>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 Cyr"/>
      <charset val="204"/>
    </font>
    <font>
      <b/>
      <sz val="11"/>
      <name val="Arial"/>
      <family val="2"/>
      <charset val="204"/>
    </font>
    <font>
      <b/>
      <sz val="11"/>
      <name val="Arial Cyr"/>
      <charset val="204"/>
    </font>
    <font>
      <sz val="8"/>
      <color rgb="FF000000"/>
      <name val="Arial Cyr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4">
    <xf numFmtId="0" fontId="0" fillId="0" borderId="0"/>
    <xf numFmtId="0" fontId="5" fillId="0" borderId="1">
      <alignment horizontal="center"/>
    </xf>
    <xf numFmtId="0" fontId="1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5" fillId="0" borderId="0">
      <alignment horizontal="right" vertical="top" wrapText="1"/>
    </xf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1">
      <alignment horizontal="center" wrapText="1"/>
    </xf>
    <xf numFmtId="0" fontId="1" fillId="0" borderId="0"/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</cellStyleXfs>
  <cellXfs count="84">
    <xf numFmtId="0" fontId="0" fillId="0" borderId="0" xfId="0"/>
    <xf numFmtId="0" fontId="6" fillId="0" borderId="0" xfId="0" applyFont="1"/>
    <xf numFmtId="0" fontId="7" fillId="0" borderId="0" xfId="0" applyFont="1"/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7" fillId="0" borderId="0" xfId="22" applyFont="1">
      <alignment horizontal="left" vertical="top"/>
    </xf>
    <xf numFmtId="0" fontId="6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7" fillId="0" borderId="3" xfId="12" applyFont="1" applyBorder="1">
      <alignment horizontal="center" wrapText="1"/>
    </xf>
    <xf numFmtId="49" fontId="7" fillId="0" borderId="1" xfId="0" applyNumberFormat="1" applyFont="1" applyBorder="1" applyAlignment="1">
      <alignment horizontal="center" vertical="top" wrapText="1"/>
    </xf>
    <xf numFmtId="10" fontId="7" fillId="0" borderId="1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2" fontId="7" fillId="0" borderId="1" xfId="0" applyNumberFormat="1" applyFont="1" applyBorder="1" applyAlignment="1">
      <alignment horizontal="right" vertical="top" wrapText="1"/>
    </xf>
    <xf numFmtId="49" fontId="7" fillId="0" borderId="3" xfId="0" applyNumberFormat="1" applyFont="1" applyBorder="1" applyAlignment="1">
      <alignment horizontal="center" vertical="top" wrapText="1"/>
    </xf>
    <xf numFmtId="10" fontId="7" fillId="0" borderId="3" xfId="0" applyNumberFormat="1" applyFont="1" applyBorder="1" applyAlignment="1">
      <alignment horizontal="center" vertical="top" wrapText="1"/>
    </xf>
    <xf numFmtId="0" fontId="7" fillId="0" borderId="3" xfId="0" applyNumberFormat="1" applyFont="1" applyBorder="1" applyAlignment="1">
      <alignment horizontal="center" vertical="top" wrapText="1"/>
    </xf>
    <xf numFmtId="2" fontId="7" fillId="0" borderId="3" xfId="0" applyNumberFormat="1" applyFont="1" applyBorder="1" applyAlignment="1">
      <alignment horizontal="right" vertical="top" wrapText="1"/>
    </xf>
    <xf numFmtId="2" fontId="8" fillId="0" borderId="1" xfId="0" applyNumberFormat="1" applyFont="1" applyBorder="1" applyAlignment="1">
      <alignment horizontal="right" vertical="top" wrapText="1"/>
    </xf>
    <xf numFmtId="2" fontId="8" fillId="0" borderId="3" xfId="0" applyNumberFormat="1" applyFont="1" applyBorder="1" applyAlignment="1">
      <alignment horizontal="right" vertical="top" wrapText="1"/>
    </xf>
    <xf numFmtId="2" fontId="7" fillId="0" borderId="1" xfId="5" applyNumberFormat="1" applyFont="1" applyBorder="1" applyAlignment="1">
      <alignment horizontal="right" vertical="top" wrapText="1"/>
    </xf>
    <xf numFmtId="2" fontId="8" fillId="0" borderId="1" xfId="5" applyNumberFormat="1" applyFont="1" applyBorder="1" applyAlignment="1">
      <alignment horizontal="right" vertical="top" wrapText="1"/>
    </xf>
    <xf numFmtId="0" fontId="4" fillId="0" borderId="0" xfId="0" applyFont="1"/>
    <xf numFmtId="0" fontId="14" fillId="0" borderId="0" xfId="0" applyFont="1"/>
    <xf numFmtId="0" fontId="14" fillId="0" borderId="1" xfId="0" applyNumberFormat="1" applyFont="1" applyBorder="1" applyAlignment="1">
      <alignment horizontal="center" vertical="top" wrapText="1"/>
    </xf>
    <xf numFmtId="0" fontId="14" fillId="0" borderId="3" xfId="0" applyNumberFormat="1" applyFont="1" applyBorder="1" applyAlignment="1">
      <alignment horizontal="center" vertical="top" wrapText="1"/>
    </xf>
    <xf numFmtId="0" fontId="14" fillId="0" borderId="3" xfId="0" applyNumberFormat="1" applyFont="1" applyBorder="1" applyAlignment="1">
      <alignment horizontal="center" vertical="top" wrapText="1"/>
    </xf>
    <xf numFmtId="0" fontId="5" fillId="0" borderId="0" xfId="0" applyFont="1"/>
    <xf numFmtId="0" fontId="1" fillId="0" borderId="0" xfId="0" applyFont="1"/>
    <xf numFmtId="0" fontId="0" fillId="0" borderId="0" xfId="0" applyAlignment="1">
      <alignment wrapText="1"/>
    </xf>
    <xf numFmtId="0" fontId="15" fillId="0" borderId="0" xfId="0" applyFont="1" applyAlignment="1">
      <alignment horizontal="left"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left" vertical="top"/>
    </xf>
    <xf numFmtId="0" fontId="15" fillId="0" borderId="0" xfId="0" applyFont="1" applyAlignment="1">
      <alignment horizontal="center" vertical="top"/>
    </xf>
    <xf numFmtId="0" fontId="1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left"/>
    </xf>
    <xf numFmtId="0" fontId="5" fillId="0" borderId="0" xfId="0" applyFont="1" applyAlignment="1"/>
    <xf numFmtId="0" fontId="14" fillId="0" borderId="0" xfId="0" applyFont="1" applyAlignment="1">
      <alignment horizontal="center"/>
    </xf>
    <xf numFmtId="0" fontId="0" fillId="0" borderId="0" xfId="0" applyAlignment="1">
      <alignment wrapText="1"/>
    </xf>
    <xf numFmtId="0" fontId="5" fillId="0" borderId="0" xfId="0" applyFont="1" applyAlignment="1">
      <alignment wrapText="1"/>
    </xf>
    <xf numFmtId="0" fontId="14" fillId="0" borderId="1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0" fontId="18" fillId="0" borderId="3" xfId="0" applyFont="1" applyBorder="1" applyAlignment="1">
      <alignment horizontal="left" vertical="top" wrapText="1"/>
    </xf>
    <xf numFmtId="0" fontId="7" fillId="0" borderId="1" xfId="5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8" fillId="0" borderId="1" xfId="5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left" vertical="top" wrapText="1"/>
    </xf>
    <xf numFmtId="49" fontId="8" fillId="0" borderId="3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0" fillId="0" borderId="0" xfId="0" applyAlignment="1">
      <alignment wrapText="1"/>
    </xf>
    <xf numFmtId="0" fontId="17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0" fontId="14" fillId="0" borderId="3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18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8" fillId="0" borderId="0" xfId="21" applyFont="1" applyBorder="1" applyAlignment="1">
      <alignment horizontal="right" vertical="top" wrapText="1"/>
    </xf>
    <xf numFmtId="0" fontId="9" fillId="0" borderId="0" xfId="21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0" fillId="0" borderId="0" xfId="0" applyAlignment="1"/>
    <xf numFmtId="0" fontId="5" fillId="0" borderId="0" xfId="0" applyFont="1" applyAlignment="1">
      <alignment wrapText="1"/>
    </xf>
    <xf numFmtId="0" fontId="5" fillId="0" borderId="0" xfId="0" applyFont="1" applyAlignment="1"/>
    <xf numFmtId="0" fontId="5" fillId="0" borderId="0" xfId="0" applyFont="1" applyBorder="1" applyAlignment="1"/>
  </cellXfs>
  <cellStyles count="24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БазЦ" xfId="9"/>
    <cellStyle name="ИтогоБИМ" xfId="10"/>
    <cellStyle name="ИтогоРесМет" xfId="11"/>
    <cellStyle name="ЛокСмета" xfId="12"/>
    <cellStyle name="ЛокСмМТСН" xfId="13"/>
    <cellStyle name="М29" xfId="14"/>
    <cellStyle name="ОбСмета" xfId="15"/>
    <cellStyle name="Обычный" xfId="0" builtinId="0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Титул" xfId="21"/>
    <cellStyle name="Хвост" xfId="22"/>
    <cellStyle name="Экспертиза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15</xdr:row>
          <xdr:rowOff>895350</xdr:rowOff>
        </xdr:from>
        <xdr:to>
          <xdr:col>1</xdr:col>
          <xdr:colOff>1152525</xdr:colOff>
          <xdr:row>15</xdr:row>
          <xdr:rowOff>1085850</xdr:rowOff>
        </xdr:to>
        <xdr:sp macro="" textlink="">
          <xdr:nvSpPr>
            <xdr:cNvPr id="1053" name="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AB60"/>
  <sheetViews>
    <sheetView showGridLines="0" tabSelected="1" topLeftCell="A7" zoomScale="120" zoomScaleNormal="120" workbookViewId="0">
      <selection activeCell="A13" sqref="A13:H13"/>
    </sheetView>
  </sheetViews>
  <sheetFormatPr defaultRowHeight="12.75" x14ac:dyDescent="0.2"/>
  <cols>
    <col min="1" max="1" width="5.7109375" style="1" customWidth="1"/>
    <col min="2" max="2" width="29.42578125" style="1" customWidth="1"/>
    <col min="3" max="3" width="27.5703125" style="1" customWidth="1"/>
    <col min="4" max="4" width="25.7109375" style="1" customWidth="1"/>
    <col min="5" max="5" width="8.42578125" style="1" customWidth="1"/>
    <col min="6" max="6" width="5.5703125" style="1" hidden="1" customWidth="1"/>
    <col min="7" max="7" width="8.42578125" style="1" hidden="1" customWidth="1"/>
    <col min="8" max="8" width="9.7109375" style="1" hidden="1" customWidth="1"/>
    <col min="9" max="9" width="10.42578125" style="1" hidden="1" customWidth="1"/>
    <col min="10" max="10" width="9.5703125" style="1" hidden="1" customWidth="1"/>
    <col min="11" max="11" width="36.42578125" style="23" customWidth="1"/>
    <col min="12" max="12" width="3.28515625" style="1" hidden="1" customWidth="1"/>
    <col min="13" max="13" width="11.42578125" style="23" customWidth="1"/>
    <col min="14" max="14" width="10.85546875" style="1" hidden="1" customWidth="1"/>
    <col min="15" max="15" width="0.140625" style="1" customWidth="1"/>
    <col min="16" max="16" width="13.140625" style="1" customWidth="1"/>
    <col min="17" max="18" width="9.140625" style="1" customWidth="1"/>
    <col min="19" max="26" width="9.140625" style="1"/>
    <col min="27" max="27" width="79.28515625" style="8" customWidth="1"/>
    <col min="28" max="16384" width="9.140625" style="1"/>
  </cols>
  <sheetData>
    <row r="1" spans="1:28" s="29" customFormat="1" ht="26.25" customHeight="1" x14ac:dyDescent="0.2">
      <c r="A1" s="63"/>
      <c r="B1" s="58"/>
      <c r="C1" s="58"/>
      <c r="D1"/>
      <c r="E1"/>
      <c r="G1"/>
      <c r="H1" s="32"/>
      <c r="I1" s="78" t="s">
        <v>59</v>
      </c>
      <c r="J1" s="79"/>
      <c r="K1" s="79"/>
      <c r="L1" s="79"/>
      <c r="M1" s="79"/>
      <c r="N1" s="79"/>
      <c r="O1" s="79"/>
    </row>
    <row r="2" spans="1:28" s="29" customFormat="1" ht="9" customHeight="1" x14ac:dyDescent="0.2">
      <c r="A2" s="33"/>
      <c r="B2" s="28"/>
      <c r="C2" s="28"/>
      <c r="D2" s="31"/>
      <c r="E2" s="31"/>
      <c r="G2"/>
      <c r="H2" s="32"/>
      <c r="I2" s="28"/>
      <c r="J2" s="28"/>
      <c r="M2" s="23"/>
    </row>
    <row r="3" spans="1:28" s="29" customFormat="1" ht="22.5" customHeight="1" x14ac:dyDescent="0.2">
      <c r="A3" s="33"/>
      <c r="B3" s="28"/>
      <c r="C3" s="28"/>
      <c r="D3" s="32"/>
      <c r="E3" s="32"/>
      <c r="G3" s="28"/>
      <c r="H3" s="28"/>
      <c r="I3" s="28"/>
      <c r="J3" s="28"/>
      <c r="K3" s="41" t="s">
        <v>60</v>
      </c>
      <c r="L3" s="40"/>
      <c r="M3" s="40"/>
      <c r="N3" s="40"/>
      <c r="O3" s="40"/>
      <c r="P3" s="40"/>
      <c r="Q3" s="40"/>
    </row>
    <row r="4" spans="1:28" s="29" customFormat="1" ht="12.75" customHeight="1" x14ac:dyDescent="0.2">
      <c r="A4" s="33"/>
      <c r="B4" s="28"/>
      <c r="C4" s="28"/>
      <c r="D4" s="32"/>
      <c r="E4" s="32"/>
      <c r="G4" s="28"/>
      <c r="H4" s="28"/>
      <c r="I4" s="28"/>
      <c r="J4" s="28"/>
      <c r="K4" s="41"/>
      <c r="L4" s="40"/>
      <c r="M4" s="40"/>
      <c r="N4" s="40"/>
      <c r="O4" s="40"/>
      <c r="P4" s="40"/>
      <c r="Q4" s="40"/>
    </row>
    <row r="5" spans="1:28" s="29" customFormat="1" ht="12.75" customHeight="1" x14ac:dyDescent="0.2">
      <c r="A5" s="33"/>
      <c r="B5" s="28"/>
      <c r="C5" s="28"/>
      <c r="D5" s="32"/>
      <c r="E5" s="32"/>
      <c r="G5" s="28"/>
      <c r="H5" s="28"/>
      <c r="I5" s="28"/>
      <c r="J5" s="28"/>
      <c r="K5" s="83" t="s">
        <v>61</v>
      </c>
      <c r="L5" s="83"/>
      <c r="M5" s="83"/>
      <c r="N5" s="83"/>
      <c r="O5" s="83"/>
      <c r="P5" s="83"/>
      <c r="Q5" s="83"/>
    </row>
    <row r="6" spans="1:28" s="29" customFormat="1" ht="12.75" customHeight="1" x14ac:dyDescent="0.2">
      <c r="A6" s="33"/>
      <c r="B6" s="28"/>
      <c r="C6" s="28"/>
      <c r="D6" s="34" t="s">
        <v>48</v>
      </c>
      <c r="E6" s="34"/>
      <c r="G6" s="28"/>
      <c r="H6" s="28"/>
      <c r="I6" s="28"/>
      <c r="J6" s="28"/>
      <c r="M6" s="23"/>
    </row>
    <row r="7" spans="1:28" s="29" customFormat="1" x14ac:dyDescent="0.2">
      <c r="A7" s="9" t="s">
        <v>49</v>
      </c>
      <c r="B7" s="9"/>
      <c r="C7" s="9"/>
      <c r="D7" s="9" t="s">
        <v>50</v>
      </c>
      <c r="E7" s="9"/>
      <c r="F7" s="9"/>
      <c r="G7" s="9"/>
      <c r="H7" s="9"/>
      <c r="I7" s="9"/>
      <c r="J7" s="9"/>
      <c r="K7" s="9"/>
      <c r="L7" s="9"/>
      <c r="M7" s="39"/>
      <c r="N7" s="9"/>
      <c r="O7" s="9"/>
      <c r="P7" s="9"/>
      <c r="Q7" s="9"/>
      <c r="AB7" s="35"/>
    </row>
    <row r="8" spans="1:28" s="29" customFormat="1" x14ac:dyDescent="0.2">
      <c r="A8" s="63" t="s">
        <v>52</v>
      </c>
      <c r="B8" s="63"/>
      <c r="C8" s="63"/>
      <c r="D8" s="63"/>
      <c r="E8" s="63"/>
      <c r="F8" s="63"/>
      <c r="G8" s="63"/>
      <c r="H8" s="63"/>
      <c r="I8" s="63"/>
      <c r="J8" s="63"/>
      <c r="K8" s="80"/>
      <c r="L8" s="80"/>
      <c r="M8" s="80"/>
      <c r="N8" s="80"/>
    </row>
    <row r="9" spans="1:28" s="29" customFormat="1" x14ac:dyDescent="0.2">
      <c r="A9" s="81" t="s">
        <v>53</v>
      </c>
      <c r="B9" s="81"/>
      <c r="C9" s="36"/>
      <c r="D9" s="37"/>
      <c r="E9" s="37"/>
      <c r="G9" s="28"/>
      <c r="H9" s="28"/>
      <c r="I9" s="28"/>
      <c r="J9" s="28"/>
      <c r="M9" s="23"/>
    </row>
    <row r="10" spans="1:28" s="29" customFormat="1" x14ac:dyDescent="0.2">
      <c r="A10" s="82" t="s">
        <v>54</v>
      </c>
      <c r="B10" s="82"/>
      <c r="C10" s="36"/>
      <c r="D10" s="37"/>
      <c r="E10" s="37"/>
      <c r="G10" s="28"/>
      <c r="H10" s="28"/>
      <c r="I10" s="28"/>
      <c r="J10" s="28"/>
      <c r="M10" s="23"/>
    </row>
    <row r="11" spans="1:28" s="29" customFormat="1" x14ac:dyDescent="0.2">
      <c r="A11" s="38" t="s">
        <v>55</v>
      </c>
      <c r="B11" s="38"/>
      <c r="C11" s="36"/>
      <c r="D11" s="38"/>
      <c r="E11" s="38"/>
      <c r="G11" s="28"/>
      <c r="H11" s="28"/>
      <c r="I11" s="28"/>
      <c r="J11" s="28"/>
      <c r="M11" s="23"/>
    </row>
    <row r="12" spans="1:28" s="29" customFormat="1" ht="24.75" customHeight="1" x14ac:dyDescent="0.2">
      <c r="A12" s="63" t="s">
        <v>62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30"/>
    </row>
    <row r="13" spans="1:28" s="29" customFormat="1" x14ac:dyDescent="0.2">
      <c r="A13" s="63" t="s">
        <v>51</v>
      </c>
      <c r="B13" s="63"/>
      <c r="C13" s="63"/>
      <c r="D13" s="63"/>
      <c r="E13" s="63"/>
      <c r="F13" s="63"/>
      <c r="G13" s="63"/>
      <c r="H13" s="63"/>
      <c r="I13" s="28"/>
      <c r="J13" s="28"/>
      <c r="M13" s="23"/>
    </row>
    <row r="14" spans="1:28" x14ac:dyDescent="0.2">
      <c r="A14" s="66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</row>
    <row r="15" spans="1:28" s="4" customFormat="1" ht="16.5" customHeight="1" x14ac:dyDescent="0.2">
      <c r="A15" s="68" t="s">
        <v>0</v>
      </c>
      <c r="B15" s="68" t="s">
        <v>1</v>
      </c>
      <c r="C15" s="64" t="s">
        <v>2</v>
      </c>
      <c r="D15" s="64" t="s">
        <v>3</v>
      </c>
      <c r="E15" s="68" t="s">
        <v>47</v>
      </c>
      <c r="F15" s="3"/>
      <c r="G15" s="3"/>
      <c r="H15" s="3"/>
      <c r="I15" s="3"/>
      <c r="J15" s="3"/>
      <c r="K15" s="68" t="s">
        <v>44</v>
      </c>
      <c r="L15" s="3"/>
      <c r="M15" s="68" t="s">
        <v>45</v>
      </c>
      <c r="N15" s="70" t="s">
        <v>46</v>
      </c>
      <c r="O15" s="71"/>
      <c r="P15" s="72"/>
    </row>
    <row r="16" spans="1:28" s="4" customFormat="1" ht="61.5" customHeight="1" x14ac:dyDescent="0.2">
      <c r="A16" s="77"/>
      <c r="B16" s="77"/>
      <c r="C16" s="65"/>
      <c r="D16" s="65"/>
      <c r="E16" s="76"/>
      <c r="F16" s="3"/>
      <c r="G16" s="3"/>
      <c r="H16" s="3"/>
      <c r="I16" s="3"/>
      <c r="J16" s="3"/>
      <c r="K16" s="69"/>
      <c r="L16" s="3"/>
      <c r="M16" s="69"/>
      <c r="N16" s="73"/>
      <c r="O16" s="74"/>
      <c r="P16" s="75"/>
    </row>
    <row r="17" spans="1:27" x14ac:dyDescent="0.2">
      <c r="A17" s="10">
        <v>1</v>
      </c>
      <c r="B17" s="10">
        <v>2</v>
      </c>
      <c r="C17" s="10">
        <v>3</v>
      </c>
      <c r="D17" s="10">
        <v>4</v>
      </c>
      <c r="E17" s="10">
        <v>5</v>
      </c>
      <c r="F17" s="10"/>
      <c r="G17" s="10"/>
      <c r="H17" s="10"/>
      <c r="I17" s="10"/>
      <c r="J17" s="10"/>
      <c r="K17" s="10">
        <v>6</v>
      </c>
      <c r="L17" s="10"/>
      <c r="M17" s="10">
        <v>7</v>
      </c>
      <c r="N17" s="10">
        <v>5</v>
      </c>
      <c r="O17" s="10">
        <v>6</v>
      </c>
      <c r="P17" s="10">
        <v>8</v>
      </c>
    </row>
    <row r="18" spans="1:27" s="5" customFormat="1" ht="21" customHeight="1" x14ac:dyDescent="0.2">
      <c r="A18" s="50" t="s">
        <v>4</v>
      </c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</row>
    <row r="19" spans="1:27" s="6" customFormat="1" ht="72" x14ac:dyDescent="0.2">
      <c r="A19" s="11">
        <v>1</v>
      </c>
      <c r="B19" s="44" t="s">
        <v>5</v>
      </c>
      <c r="C19" s="42" t="s">
        <v>6</v>
      </c>
      <c r="D19" s="12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 xml:space="preserve">(19 / 10) * 242 </v>
      </c>
      <c r="E19" s="13">
        <f>IF( 1.9 = "","0",1.9)</f>
        <v>1.9</v>
      </c>
      <c r="F19" s="13" t="str">
        <f ca="1">IF(INDIRECT("J" &amp; ROW())="текущие цены", IF(INDIRECT("G" &amp; ROW())="", "0", "0"), IF(INDIRECT("G" &amp; ROW())="", "242","242"))</f>
        <v>242</v>
      </c>
      <c r="G19" s="13"/>
      <c r="H19" s="13" t="s">
        <v>7</v>
      </c>
      <c r="I19" s="13"/>
      <c r="J19" s="13" t="s">
        <v>8</v>
      </c>
      <c r="K19" s="25"/>
      <c r="L19" s="13">
        <v>1</v>
      </c>
      <c r="M19" s="25" t="s">
        <v>9</v>
      </c>
      <c r="N19" s="14">
        <f ca="1">IF(ISNUMBER(INDIRECT("P" &amp; ROW())), INDIRECT("P" &amp; ROW())*0.4, " ")</f>
        <v>184</v>
      </c>
      <c r="O19" s="14">
        <f ca="1">IF(ISNUMBER(INDIRECT("P" &amp; ROW())), INDIRECT("P" &amp; ROW())*0.6, " ")</f>
        <v>276</v>
      </c>
      <c r="P19" s="14">
        <f ca="1">IF(INDIRECT("J" &amp; ROW())="текущие цены", 0, 460)</f>
        <v>460</v>
      </c>
      <c r="Q19" s="5"/>
      <c r="R19" s="5"/>
      <c r="S19" s="5"/>
      <c r="T19" s="5"/>
      <c r="U19" s="5"/>
      <c r="AA19" s="5"/>
    </row>
    <row r="20" spans="1:27" ht="51" customHeight="1" x14ac:dyDescent="0.2">
      <c r="A20" s="15">
        <v>2</v>
      </c>
      <c r="B20" s="45" t="s">
        <v>10</v>
      </c>
      <c r="C20" s="43" t="s">
        <v>11</v>
      </c>
      <c r="D20" s="16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 xml:space="preserve">(19 / 10) * 63 </v>
      </c>
      <c r="E20" s="17">
        <f>IF( 1.9 = "","0",1.9)</f>
        <v>1.9</v>
      </c>
      <c r="F20" s="17" t="str">
        <f ca="1">IF(INDIRECT("J" &amp; ROW())="текущие цены", IF(INDIRECT("G" &amp; ROW())="", "0", "0"), IF(INDIRECT("G" &amp; ROW())="", "63","63"))</f>
        <v>63</v>
      </c>
      <c r="G20" s="17"/>
      <c r="H20" s="17" t="s">
        <v>7</v>
      </c>
      <c r="I20" s="17"/>
      <c r="J20" s="17" t="s">
        <v>8</v>
      </c>
      <c r="K20" s="26"/>
      <c r="L20" s="17">
        <v>1</v>
      </c>
      <c r="M20" s="27" t="s">
        <v>9</v>
      </c>
      <c r="N20" s="18">
        <f ca="1">IF(ISNUMBER(INDIRECT("P" &amp; ROW())), INDIRECT("P" &amp; ROW())*0.4, " ")</f>
        <v>48</v>
      </c>
      <c r="O20" s="18">
        <f ca="1">IF(ISNUMBER(INDIRECT("P" &amp; ROW())), INDIRECT("P" &amp; ROW())*0.6, " ")</f>
        <v>72</v>
      </c>
      <c r="P20" s="18">
        <f ca="1">IF(INDIRECT("J" &amp; ROW())="текущие цены", 0, 120)</f>
        <v>120</v>
      </c>
      <c r="Q20" s="5"/>
      <c r="R20" s="5"/>
      <c r="S20" s="5"/>
      <c r="T20" s="5"/>
      <c r="U20" s="5"/>
    </row>
    <row r="21" spans="1:27" x14ac:dyDescent="0.2">
      <c r="A21" s="52" t="s">
        <v>12</v>
      </c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14">
        <f ca="1">IF(ISNUMBER(INDIRECT("P" &amp; ROW())), INDIRECT("P" &amp; ROW()) * 0.4, " ")</f>
        <v>232</v>
      </c>
      <c r="O21" s="14">
        <f ca="1">IF(ISNUMBER(INDIRECT("P" &amp; ROW())), INDIRECT("P" &amp; ROW()) * 0.6, " ")</f>
        <v>348</v>
      </c>
      <c r="P21" s="14">
        <v>580</v>
      </c>
      <c r="Q21" s="5"/>
      <c r="R21" s="5"/>
      <c r="S21" s="5"/>
      <c r="T21" s="5"/>
      <c r="U21" s="5"/>
    </row>
    <row r="22" spans="1:27" ht="20.25" customHeight="1" x14ac:dyDescent="0.2">
      <c r="A22" s="53" t="s">
        <v>13</v>
      </c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19" t="str">
        <f ca="1">IF(ISNUMBER(INDIRECT("P" &amp; ROW())), INDIRECT("P" &amp; ROW()) * 0.4, " ")</f>
        <v xml:space="preserve"> </v>
      </c>
      <c r="O22" s="19" t="str">
        <f ca="1">IF(ISNUMBER(INDIRECT("P" &amp; ROW())), INDIRECT("P" &amp; ROW()) * 0.6, " ")</f>
        <v xml:space="preserve"> </v>
      </c>
      <c r="P22" s="19"/>
      <c r="Q22" s="5"/>
      <c r="R22" s="5"/>
      <c r="S22" s="5"/>
      <c r="T22" s="5"/>
      <c r="U22" s="5"/>
    </row>
    <row r="23" spans="1:27" ht="18.75" customHeight="1" x14ac:dyDescent="0.2">
      <c r="A23" s="52" t="s">
        <v>14</v>
      </c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14">
        <f ca="1">IF(ISNUMBER(INDIRECT("P" &amp; ROW())), INDIRECT("P" &amp; ROW()) * 0.4, " ")</f>
        <v>911.6</v>
      </c>
      <c r="O23" s="14">
        <f ca="1">IF(ISNUMBER(INDIRECT("P" &amp; ROW())), INDIRECT("P" &amp; ROW()) * 0.6, " ")</f>
        <v>1367.3999999999999</v>
      </c>
      <c r="P23" s="14">
        <v>2279</v>
      </c>
      <c r="Q23" s="5"/>
      <c r="R23" s="5"/>
      <c r="S23" s="5"/>
      <c r="T23" s="5"/>
      <c r="U23" s="5"/>
    </row>
    <row r="24" spans="1:27" ht="18" customHeight="1" x14ac:dyDescent="0.2">
      <c r="A24" s="54" t="s">
        <v>15</v>
      </c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20">
        <f ca="1">IF(ISNUMBER(INDIRECT("P" &amp; ROW())), INDIRECT("P" &amp; ROW()) * 0.4, " ")</f>
        <v>911.6</v>
      </c>
      <c r="O24" s="20">
        <f ca="1">IF(ISNUMBER(INDIRECT("P" &amp; ROW())), INDIRECT("P" &amp; ROW()) * 0.6, " ")</f>
        <v>1367.3999999999999</v>
      </c>
      <c r="P24" s="20">
        <v>2279</v>
      </c>
      <c r="Q24" s="5"/>
      <c r="R24" s="5"/>
      <c r="S24" s="5"/>
      <c r="T24" s="5"/>
      <c r="U24" s="5"/>
    </row>
    <row r="25" spans="1:27" ht="21" customHeight="1" x14ac:dyDescent="0.2">
      <c r="A25" s="50" t="s">
        <v>16</v>
      </c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"/>
      <c r="R25" s="5"/>
      <c r="S25" s="5"/>
      <c r="T25" s="5"/>
      <c r="U25" s="5"/>
    </row>
    <row r="26" spans="1:27" ht="45.75" customHeight="1" x14ac:dyDescent="0.2">
      <c r="A26" s="11">
        <v>3</v>
      </c>
      <c r="B26" s="44" t="s">
        <v>17</v>
      </c>
      <c r="C26" s="42" t="s">
        <v>18</v>
      </c>
      <c r="D26" s="12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450000 * 0,3*0,06</v>
      </c>
      <c r="E26" s="13">
        <f>IF( 1 = "","0",1)</f>
        <v>1</v>
      </c>
      <c r="F26" s="13" t="str">
        <f ca="1">IF(INDIRECT("J" &amp; ROW())="текущие цены", IF(INDIRECT("G" &amp; ROW())="", "0", "0"), IF(INDIRECT("G" &amp; ROW())="", "8100","450000"))</f>
        <v>450000</v>
      </c>
      <c r="G26" s="13" t="s">
        <v>19</v>
      </c>
      <c r="H26" s="13"/>
      <c r="I26" s="13"/>
      <c r="J26" s="13" t="s">
        <v>8</v>
      </c>
      <c r="K26" s="61" t="s">
        <v>20</v>
      </c>
      <c r="L26" s="13">
        <v>2</v>
      </c>
      <c r="M26" s="25" t="s">
        <v>21</v>
      </c>
      <c r="N26" s="14">
        <f ca="1">IF(ISNUMBER(INDIRECT("P" &amp; ROW())), INDIRECT("P" &amp; ROW())*0.4, " ")</f>
        <v>3240</v>
      </c>
      <c r="O26" s="14">
        <f ca="1">IF(ISNUMBER(INDIRECT("P" &amp; ROW())), INDIRECT("P" &amp; ROW())*0.6, " ")</f>
        <v>4860</v>
      </c>
      <c r="P26" s="14">
        <f ca="1">IF(INDIRECT("J" &amp; ROW())="текущие цены", 0, 8100)</f>
        <v>8100</v>
      </c>
      <c r="Q26" s="5"/>
      <c r="R26" s="5"/>
      <c r="S26" s="5"/>
      <c r="T26" s="5"/>
      <c r="U26" s="5"/>
    </row>
    <row r="27" spans="1:27" ht="45" customHeight="1" x14ac:dyDescent="0.2">
      <c r="A27" s="15">
        <v>4</v>
      </c>
      <c r="B27" s="45" t="s">
        <v>17</v>
      </c>
      <c r="C27" s="43" t="s">
        <v>22</v>
      </c>
      <c r="D27" s="16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18343 * 6 * 0,3*0,06</v>
      </c>
      <c r="E27" s="17">
        <f>IF( 18343 = "","0",18343)</f>
        <v>18343</v>
      </c>
      <c r="F27" s="17" t="str">
        <f ca="1">IF(INDIRECT("J" &amp; ROW())="текущие цены", IF(INDIRECT("G" &amp; ROW())="", "0", "0"), IF(INDIRECT("G" &amp; ROW())="", "0.11","6"))</f>
        <v>6</v>
      </c>
      <c r="G27" s="17" t="s">
        <v>19</v>
      </c>
      <c r="H27" s="17"/>
      <c r="I27" s="17"/>
      <c r="J27" s="17" t="s">
        <v>8</v>
      </c>
      <c r="K27" s="62"/>
      <c r="L27" s="17">
        <v>2</v>
      </c>
      <c r="M27" s="27" t="s">
        <v>23</v>
      </c>
      <c r="N27" s="18">
        <f ca="1">IF(ISNUMBER(INDIRECT("P" &amp; ROW())), INDIRECT("P" &amp; ROW())*0.4, " ")</f>
        <v>807.2</v>
      </c>
      <c r="O27" s="18">
        <f ca="1">IF(ISNUMBER(INDIRECT("P" &amp; ROW())), INDIRECT("P" &amp; ROW())*0.6, " ")</f>
        <v>1210.8</v>
      </c>
      <c r="P27" s="18">
        <f ca="1">IF(INDIRECT("J" &amp; ROW())="текущие цены", 0, 2018)</f>
        <v>2018</v>
      </c>
      <c r="Q27" s="5"/>
      <c r="R27" s="5"/>
      <c r="S27" s="5"/>
      <c r="T27" s="5"/>
      <c r="U27" s="5"/>
    </row>
    <row r="28" spans="1:27" x14ac:dyDescent="0.2">
      <c r="A28" s="52" t="s">
        <v>12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14">
        <f ca="1">IF(ISNUMBER(INDIRECT("P" &amp; ROW())), INDIRECT("P" &amp; ROW()) * 0.4, " ")</f>
        <v>4047.2000000000003</v>
      </c>
      <c r="O28" s="14">
        <f ca="1">IF(ISNUMBER(INDIRECT("P" &amp; ROW())), INDIRECT("P" &amp; ROW()) * 0.6, " ")</f>
        <v>6070.8</v>
      </c>
      <c r="P28" s="14">
        <v>10118</v>
      </c>
      <c r="Q28" s="5"/>
      <c r="R28" s="5"/>
      <c r="S28" s="5"/>
      <c r="T28" s="5"/>
      <c r="U28" s="5"/>
    </row>
    <row r="29" spans="1:27" x14ac:dyDescent="0.2">
      <c r="A29" s="53" t="s">
        <v>24</v>
      </c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19" t="str">
        <f ca="1">IF(ISNUMBER(INDIRECT("P" &amp; ROW())), INDIRECT("P" &amp; ROW()) * 0.4, " ")</f>
        <v xml:space="preserve"> </v>
      </c>
      <c r="O29" s="19" t="str">
        <f ca="1">IF(ISNUMBER(INDIRECT("P" &amp; ROW())), INDIRECT("P" &amp; ROW()) * 0.6, " ")</f>
        <v xml:space="preserve"> </v>
      </c>
      <c r="P29" s="19"/>
      <c r="Q29" s="5"/>
      <c r="R29" s="5"/>
      <c r="S29" s="5"/>
      <c r="T29" s="5"/>
      <c r="U29" s="5"/>
    </row>
    <row r="30" spans="1:27" ht="17.25" customHeight="1" x14ac:dyDescent="0.2">
      <c r="A30" s="52" t="s">
        <v>25</v>
      </c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14">
        <f ca="1">IF(ISNUMBER(INDIRECT("P" &amp; ROW())), INDIRECT("P" &amp; ROW()) * 0.4, " ")</f>
        <v>15865.2</v>
      </c>
      <c r="O30" s="14">
        <f ca="1">IF(ISNUMBER(INDIRECT("P" &amp; ROW())), INDIRECT("P" &amp; ROW()) * 0.6, " ")</f>
        <v>23797.8</v>
      </c>
      <c r="P30" s="14">
        <v>39663</v>
      </c>
      <c r="Q30" s="5"/>
      <c r="R30" s="5"/>
      <c r="S30" s="5"/>
      <c r="T30" s="5"/>
      <c r="U30" s="5"/>
    </row>
    <row r="31" spans="1:27" x14ac:dyDescent="0.2">
      <c r="A31" s="54" t="s">
        <v>26</v>
      </c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20">
        <f ca="1">IF(ISNUMBER(INDIRECT("P" &amp; ROW())), INDIRECT("P" &amp; ROW()) * 0.4, " ")</f>
        <v>15865.2</v>
      </c>
      <c r="O31" s="20">
        <f ca="1">IF(ISNUMBER(INDIRECT("P" &amp; ROW())), INDIRECT("P" &amp; ROW()) * 0.6, " ")</f>
        <v>23797.8</v>
      </c>
      <c r="P31" s="20">
        <v>39663</v>
      </c>
      <c r="Q31" s="5"/>
      <c r="R31" s="5"/>
      <c r="S31" s="5"/>
      <c r="T31" s="5"/>
      <c r="U31" s="5"/>
    </row>
    <row r="32" spans="1:27" ht="21" customHeight="1" x14ac:dyDescent="0.2">
      <c r="A32" s="50" t="s">
        <v>27</v>
      </c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"/>
      <c r="R32" s="5"/>
      <c r="S32" s="5"/>
      <c r="T32" s="5"/>
      <c r="U32" s="5"/>
    </row>
    <row r="33" spans="1:21" ht="46.5" customHeight="1" x14ac:dyDescent="0.2">
      <c r="A33" s="11">
        <v>5</v>
      </c>
      <c r="B33" s="44" t="s">
        <v>17</v>
      </c>
      <c r="C33" s="42" t="s">
        <v>18</v>
      </c>
      <c r="D33" s="12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450000 * 0,3*0,04*0,06</v>
      </c>
      <c r="E33" s="13">
        <f>IF( 1 = "","0",1)</f>
        <v>1</v>
      </c>
      <c r="F33" s="13" t="str">
        <f ca="1">IF(INDIRECT("J" &amp; ROW())="текущие цены", IF(INDIRECT("G" &amp; ROW())="", "0", "0"), IF(INDIRECT("G" &amp; ROW())="", "324","450000"))</f>
        <v>450000</v>
      </c>
      <c r="G33" s="13" t="s">
        <v>28</v>
      </c>
      <c r="H33" s="13"/>
      <c r="I33" s="13"/>
      <c r="J33" s="13" t="s">
        <v>8</v>
      </c>
      <c r="K33" s="61" t="s">
        <v>29</v>
      </c>
      <c r="L33" s="13">
        <v>3</v>
      </c>
      <c r="M33" s="25" t="s">
        <v>21</v>
      </c>
      <c r="N33" s="14">
        <f ca="1">IF(ISNUMBER(INDIRECT("P" &amp; ROW())), INDIRECT("P" &amp; ROW())*0.4, " ")</f>
        <v>129.6</v>
      </c>
      <c r="O33" s="14">
        <f ca="1">IF(ISNUMBER(INDIRECT("P" &amp; ROW())), INDIRECT("P" &amp; ROW())*0.6, " ")</f>
        <v>194.4</v>
      </c>
      <c r="P33" s="14">
        <f ca="1">IF(INDIRECT("J" &amp; ROW())="текущие цены", 0, 324)</f>
        <v>324</v>
      </c>
      <c r="Q33" s="5"/>
      <c r="R33" s="5"/>
      <c r="S33" s="5"/>
      <c r="T33" s="5"/>
      <c r="U33" s="5"/>
    </row>
    <row r="34" spans="1:21" ht="62.25" customHeight="1" x14ac:dyDescent="0.2">
      <c r="A34" s="15">
        <v>6</v>
      </c>
      <c r="B34" s="45" t="s">
        <v>17</v>
      </c>
      <c r="C34" s="43" t="s">
        <v>22</v>
      </c>
      <c r="D34" s="16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18343 * 6 * 0,3*0,04*0,06</v>
      </c>
      <c r="E34" s="17">
        <f>IF( 18343 = "","0",18343)</f>
        <v>18343</v>
      </c>
      <c r="F34" s="17" t="str">
        <f ca="1">IF(INDIRECT("J" &amp; ROW())="текущие цены", IF(INDIRECT("G" &amp; ROW())="", "0", "0"), IF(INDIRECT("G" &amp; ROW())="", "0","6"))</f>
        <v>6</v>
      </c>
      <c r="G34" s="17" t="s">
        <v>28</v>
      </c>
      <c r="H34" s="17"/>
      <c r="I34" s="17"/>
      <c r="J34" s="17" t="s">
        <v>8</v>
      </c>
      <c r="K34" s="62"/>
      <c r="L34" s="17">
        <v>3</v>
      </c>
      <c r="M34" s="27" t="s">
        <v>23</v>
      </c>
      <c r="N34" s="18">
        <f ca="1">IF(ISNUMBER(INDIRECT("P" &amp; ROW())), INDIRECT("P" &amp; ROW())*0.4, " ")</f>
        <v>0</v>
      </c>
      <c r="O34" s="18">
        <f ca="1">IF(ISNUMBER(INDIRECT("P" &amp; ROW())), INDIRECT("P" &amp; ROW())*0.6, " ")</f>
        <v>0</v>
      </c>
      <c r="P34" s="18">
        <f ca="1">IF(INDIRECT("J" &amp; ROW())="текущие цены", 0, 0)</f>
        <v>0</v>
      </c>
      <c r="Q34" s="5"/>
      <c r="R34" s="5"/>
      <c r="S34" s="5"/>
      <c r="T34" s="5"/>
      <c r="U34" s="5"/>
    </row>
    <row r="35" spans="1:21" x14ac:dyDescent="0.2">
      <c r="A35" s="52" t="s">
        <v>12</v>
      </c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14">
        <f ca="1">IF(ISNUMBER(INDIRECT("P" &amp; ROW())), INDIRECT("P" &amp; ROW()) * 0.4, " ")</f>
        <v>129.6</v>
      </c>
      <c r="O35" s="14">
        <f ca="1">IF(ISNUMBER(INDIRECT("P" &amp; ROW())), INDIRECT("P" &amp; ROW()) * 0.6, " ")</f>
        <v>194.4</v>
      </c>
      <c r="P35" s="14">
        <v>324</v>
      </c>
      <c r="Q35" s="5"/>
      <c r="R35" s="5"/>
      <c r="S35" s="5"/>
      <c r="T35" s="5"/>
      <c r="U35" s="5"/>
    </row>
    <row r="36" spans="1:21" x14ac:dyDescent="0.2">
      <c r="A36" s="53" t="s">
        <v>30</v>
      </c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19" t="str">
        <f ca="1">IF(ISNUMBER(INDIRECT("P" &amp; ROW())), INDIRECT("P" &amp; ROW()) * 0.4, " ")</f>
        <v xml:space="preserve"> </v>
      </c>
      <c r="O36" s="19" t="str">
        <f ca="1">IF(ISNUMBER(INDIRECT("P" &amp; ROW())), INDIRECT("P" &amp; ROW()) * 0.6, " ")</f>
        <v xml:space="preserve"> </v>
      </c>
      <c r="P36" s="19"/>
      <c r="Q36" s="5"/>
      <c r="R36" s="5"/>
      <c r="S36" s="5"/>
      <c r="T36" s="5"/>
      <c r="U36" s="5"/>
    </row>
    <row r="37" spans="1:21" ht="15" customHeight="1" x14ac:dyDescent="0.2">
      <c r="A37" s="52" t="s">
        <v>25</v>
      </c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14">
        <f ca="1">IF(ISNUMBER(INDIRECT("P" &amp; ROW())), INDIRECT("P" &amp; ROW()) * 0.4, " ")</f>
        <v>508</v>
      </c>
      <c r="O37" s="14">
        <f ca="1">IF(ISNUMBER(INDIRECT("P" &amp; ROW())), INDIRECT("P" &amp; ROW()) * 0.6, " ")</f>
        <v>762</v>
      </c>
      <c r="P37" s="14">
        <v>1270</v>
      </c>
      <c r="Q37" s="5"/>
      <c r="R37" s="5"/>
      <c r="S37" s="5"/>
      <c r="T37" s="5"/>
      <c r="U37" s="5"/>
    </row>
    <row r="38" spans="1:21" x14ac:dyDescent="0.2">
      <c r="A38" s="54" t="s">
        <v>31</v>
      </c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20">
        <f ca="1">IF(ISNUMBER(INDIRECT("P" &amp; ROW())), INDIRECT("P" &amp; ROW()) * 0.4, " ")</f>
        <v>508</v>
      </c>
      <c r="O38" s="20">
        <f ca="1">IF(ISNUMBER(INDIRECT("P" &amp; ROW())), INDIRECT("P" &amp; ROW()) * 0.6, " ")</f>
        <v>762</v>
      </c>
      <c r="P38" s="20">
        <v>1270</v>
      </c>
      <c r="Q38" s="5"/>
      <c r="R38" s="5"/>
      <c r="S38" s="5"/>
      <c r="T38" s="5"/>
      <c r="U38" s="5"/>
    </row>
    <row r="39" spans="1:21" ht="19.5" customHeight="1" x14ac:dyDescent="0.2">
      <c r="A39" s="50" t="s">
        <v>32</v>
      </c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"/>
      <c r="R39" s="5"/>
      <c r="S39" s="5"/>
      <c r="T39" s="5"/>
      <c r="U39" s="5"/>
    </row>
    <row r="40" spans="1:21" ht="54.75" customHeight="1" x14ac:dyDescent="0.2">
      <c r="A40" s="11">
        <v>7</v>
      </c>
      <c r="B40" s="44" t="s">
        <v>17</v>
      </c>
      <c r="C40" s="42" t="s">
        <v>18</v>
      </c>
      <c r="D40" s="12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450000 * 0,3*0,05*0,06</v>
      </c>
      <c r="E40" s="13">
        <f>IF( 1 = "","0",1)</f>
        <v>1</v>
      </c>
      <c r="F40" s="13" t="str">
        <f ca="1">IF(INDIRECT("J" &amp; ROW())="текущие цены", IF(INDIRECT("G" &amp; ROW())="", "0", "0"), IF(INDIRECT("G" &amp; ROW())="", "405","450000"))</f>
        <v>450000</v>
      </c>
      <c r="G40" s="13" t="s">
        <v>33</v>
      </c>
      <c r="H40" s="13"/>
      <c r="I40" s="13"/>
      <c r="J40" s="13" t="s">
        <v>8</v>
      </c>
      <c r="K40" s="61" t="s">
        <v>34</v>
      </c>
      <c r="L40" s="13">
        <v>4</v>
      </c>
      <c r="M40" s="25" t="s">
        <v>21</v>
      </c>
      <c r="N40" s="14">
        <f ca="1">IF(ISNUMBER(INDIRECT("P" &amp; ROW())), INDIRECT("P" &amp; ROW())*0.4, " ")</f>
        <v>162</v>
      </c>
      <c r="O40" s="14">
        <f ca="1">IF(ISNUMBER(INDIRECT("P" &amp; ROW())), INDIRECT("P" &amp; ROW())*0.6, " ")</f>
        <v>243</v>
      </c>
      <c r="P40" s="14">
        <f ca="1">IF(INDIRECT("J" &amp; ROW())="текущие цены", 0, 405)</f>
        <v>405</v>
      </c>
      <c r="Q40" s="5"/>
      <c r="R40" s="5"/>
      <c r="S40" s="5"/>
      <c r="T40" s="5"/>
      <c r="U40" s="5"/>
    </row>
    <row r="41" spans="1:21" ht="46.5" customHeight="1" x14ac:dyDescent="0.2">
      <c r="A41" s="15">
        <v>8</v>
      </c>
      <c r="B41" s="45" t="s">
        <v>17</v>
      </c>
      <c r="C41" s="43" t="s">
        <v>22</v>
      </c>
      <c r="D41" s="16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18343 * 6 * 0,3*0,05*0,06</v>
      </c>
      <c r="E41" s="17">
        <f>IF( 18343 = "","0",18343)</f>
        <v>18343</v>
      </c>
      <c r="F41" s="17" t="str">
        <f ca="1">IF(INDIRECT("J" &amp; ROW())="текущие цены", IF(INDIRECT("G" &amp; ROW())="", "0", "0"), IF(INDIRECT("G" &amp; ROW())="", "0.01","6"))</f>
        <v>6</v>
      </c>
      <c r="G41" s="17" t="s">
        <v>33</v>
      </c>
      <c r="H41" s="17"/>
      <c r="I41" s="17"/>
      <c r="J41" s="17" t="s">
        <v>8</v>
      </c>
      <c r="K41" s="62"/>
      <c r="L41" s="17">
        <v>4</v>
      </c>
      <c r="M41" s="27" t="s">
        <v>23</v>
      </c>
      <c r="N41" s="18">
        <f ca="1">IF(ISNUMBER(INDIRECT("P" &amp; ROW())), INDIRECT("P" &amp; ROW())*0.4, " ")</f>
        <v>73.2</v>
      </c>
      <c r="O41" s="18">
        <f ca="1">IF(ISNUMBER(INDIRECT("P" &amp; ROW())), INDIRECT("P" &amp; ROW())*0.6, " ")</f>
        <v>109.8</v>
      </c>
      <c r="P41" s="18">
        <f ca="1">IF(INDIRECT("J" &amp; ROW())="текущие цены", 0, 183)</f>
        <v>183</v>
      </c>
      <c r="Q41" s="5"/>
      <c r="R41" s="5"/>
      <c r="S41" s="5"/>
      <c r="T41" s="5"/>
      <c r="U41" s="5"/>
    </row>
    <row r="42" spans="1:21" ht="14.25" customHeight="1" x14ac:dyDescent="0.2">
      <c r="A42" s="52" t="s">
        <v>12</v>
      </c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14">
        <f t="shared" ref="N42:N52" ca="1" si="0">IF(ISNUMBER(INDIRECT("P" &amp; ROW())), INDIRECT("P" &amp; ROW()) * 0.4, " ")</f>
        <v>235.20000000000002</v>
      </c>
      <c r="O42" s="14">
        <f t="shared" ref="O42:O52" ca="1" si="1">IF(ISNUMBER(INDIRECT("P" &amp; ROW())), INDIRECT("P" &amp; ROW()) * 0.6, " ")</f>
        <v>352.8</v>
      </c>
      <c r="P42" s="14">
        <v>588</v>
      </c>
      <c r="Q42" s="5"/>
      <c r="R42" s="5"/>
      <c r="S42" s="5"/>
      <c r="T42" s="5"/>
      <c r="U42" s="5"/>
    </row>
    <row r="43" spans="1:21" ht="14.25" customHeight="1" x14ac:dyDescent="0.2">
      <c r="A43" s="53" t="s">
        <v>35</v>
      </c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19" t="str">
        <f t="shared" ca="1" si="0"/>
        <v xml:space="preserve"> </v>
      </c>
      <c r="O43" s="19" t="str">
        <f t="shared" ca="1" si="1"/>
        <v xml:space="preserve"> </v>
      </c>
      <c r="P43" s="19"/>
      <c r="Q43" s="5"/>
      <c r="R43" s="5"/>
      <c r="S43" s="5"/>
      <c r="T43" s="5"/>
      <c r="U43" s="5"/>
    </row>
    <row r="44" spans="1:21" ht="14.25" customHeight="1" x14ac:dyDescent="0.2">
      <c r="A44" s="52" t="s">
        <v>25</v>
      </c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14">
        <f t="shared" ca="1" si="0"/>
        <v>922</v>
      </c>
      <c r="O44" s="14">
        <f t="shared" ca="1" si="1"/>
        <v>1383</v>
      </c>
      <c r="P44" s="14">
        <v>2305</v>
      </c>
      <c r="Q44" s="5"/>
      <c r="R44" s="5"/>
      <c r="S44" s="5"/>
      <c r="T44" s="5"/>
      <c r="U44" s="5"/>
    </row>
    <row r="45" spans="1:21" ht="14.25" customHeight="1" x14ac:dyDescent="0.2">
      <c r="A45" s="54" t="s">
        <v>36</v>
      </c>
      <c r="B45" s="55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20">
        <f t="shared" ca="1" si="0"/>
        <v>922</v>
      </c>
      <c r="O45" s="20">
        <f t="shared" ca="1" si="1"/>
        <v>1383</v>
      </c>
      <c r="P45" s="20">
        <v>2305</v>
      </c>
      <c r="Q45" s="5"/>
      <c r="R45" s="5"/>
      <c r="S45" s="5"/>
      <c r="T45" s="5"/>
      <c r="U45" s="5"/>
    </row>
    <row r="46" spans="1:21" ht="14.25" customHeight="1" x14ac:dyDescent="0.2">
      <c r="A46" s="46" t="s">
        <v>37</v>
      </c>
      <c r="B46" s="47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21">
        <f t="shared" ca="1" si="0"/>
        <v>4644</v>
      </c>
      <c r="O46" s="21">
        <f t="shared" ca="1" si="1"/>
        <v>6966</v>
      </c>
      <c r="P46" s="21">
        <v>11610</v>
      </c>
      <c r="Q46" s="5"/>
      <c r="R46" s="5"/>
      <c r="S46" s="5"/>
      <c r="T46" s="5"/>
      <c r="U46" s="5"/>
    </row>
    <row r="47" spans="1:21" ht="14.25" customHeight="1" x14ac:dyDescent="0.2">
      <c r="A47" s="48" t="s">
        <v>38</v>
      </c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22" t="str">
        <f t="shared" ca="1" si="0"/>
        <v xml:space="preserve"> </v>
      </c>
      <c r="O47" s="22" t="str">
        <f t="shared" ca="1" si="1"/>
        <v xml:space="preserve"> </v>
      </c>
      <c r="P47" s="22"/>
      <c r="Q47" s="5"/>
      <c r="R47" s="5"/>
      <c r="S47" s="5"/>
      <c r="T47" s="5"/>
      <c r="U47" s="5"/>
    </row>
    <row r="48" spans="1:21" ht="14.25" customHeight="1" x14ac:dyDescent="0.2">
      <c r="A48" s="46" t="s">
        <v>39</v>
      </c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21">
        <f t="shared" ca="1" si="0"/>
        <v>911.6</v>
      </c>
      <c r="O48" s="21">
        <f t="shared" ca="1" si="1"/>
        <v>1367.3999999999999</v>
      </c>
      <c r="P48" s="21">
        <v>2279</v>
      </c>
      <c r="Q48" s="5"/>
      <c r="R48" s="5"/>
      <c r="S48" s="5"/>
      <c r="T48" s="5"/>
      <c r="U48" s="5"/>
    </row>
    <row r="49" spans="1:23" ht="14.25" customHeight="1" x14ac:dyDescent="0.2">
      <c r="A49" s="46" t="s">
        <v>40</v>
      </c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21">
        <f t="shared" ca="1" si="0"/>
        <v>17295.2</v>
      </c>
      <c r="O49" s="21">
        <f t="shared" ca="1" si="1"/>
        <v>25942.799999999999</v>
      </c>
      <c r="P49" s="21">
        <v>43238</v>
      </c>
      <c r="Q49" s="5"/>
      <c r="R49" s="5"/>
      <c r="S49" s="5"/>
      <c r="T49" s="5"/>
      <c r="U49" s="5"/>
    </row>
    <row r="50" spans="1:23" ht="14.25" customHeight="1" x14ac:dyDescent="0.2">
      <c r="A50" s="46" t="s">
        <v>41</v>
      </c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21">
        <f t="shared" ca="1" si="0"/>
        <v>18206.8</v>
      </c>
      <c r="O50" s="21">
        <f t="shared" ca="1" si="1"/>
        <v>27310.2</v>
      </c>
      <c r="P50" s="21">
        <v>45517</v>
      </c>
      <c r="Q50" s="5"/>
      <c r="R50" s="5"/>
      <c r="S50" s="5"/>
      <c r="T50" s="5"/>
      <c r="U50" s="5"/>
    </row>
    <row r="51" spans="1:23" ht="14.25" customHeight="1" x14ac:dyDescent="0.2">
      <c r="A51" s="46" t="s">
        <v>42</v>
      </c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21">
        <f t="shared" ca="1" si="0"/>
        <v>3277.2240000000002</v>
      </c>
      <c r="O51" s="21">
        <f t="shared" ca="1" si="1"/>
        <v>4915.8359999999993</v>
      </c>
      <c r="P51" s="21">
        <v>8193.06</v>
      </c>
      <c r="Q51" s="5"/>
      <c r="R51" s="5"/>
      <c r="S51" s="5"/>
      <c r="T51" s="5"/>
      <c r="U51" s="5"/>
    </row>
    <row r="52" spans="1:23" ht="14.25" customHeight="1" x14ac:dyDescent="0.2">
      <c r="A52" s="48" t="s">
        <v>43</v>
      </c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22">
        <f t="shared" ca="1" si="0"/>
        <v>21484.024000000001</v>
      </c>
      <c r="O52" s="22">
        <f t="shared" ca="1" si="1"/>
        <v>32226.035999999996</v>
      </c>
      <c r="P52" s="22">
        <v>53710.06</v>
      </c>
      <c r="Q52" s="5"/>
      <c r="R52" s="5"/>
      <c r="S52" s="5"/>
      <c r="T52" s="5"/>
      <c r="U52" s="5"/>
    </row>
    <row r="53" spans="1:23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4"/>
      <c r="L53" s="2"/>
      <c r="M53" s="24"/>
      <c r="N53" s="2"/>
      <c r="O53" s="2"/>
      <c r="P53" s="2"/>
      <c r="Q53" s="6"/>
      <c r="R53" s="6"/>
      <c r="S53" s="6"/>
      <c r="T53" s="6"/>
      <c r="U53" s="6"/>
    </row>
    <row r="54" spans="1:23" s="29" customFormat="1" ht="10.5" customHeight="1" x14ac:dyDescent="0.2">
      <c r="A54" s="56" t="s">
        <v>57</v>
      </c>
      <c r="B54" s="57"/>
      <c r="C54" s="57"/>
      <c r="D54" s="57"/>
      <c r="E54" s="57"/>
      <c r="F54" s="57"/>
      <c r="G54" s="57"/>
      <c r="H54" s="57"/>
      <c r="I54" s="57"/>
      <c r="J54" s="58"/>
      <c r="K54" s="58"/>
      <c r="L54" s="58"/>
      <c r="M54" s="58"/>
      <c r="N54" s="58"/>
      <c r="O54" s="58"/>
      <c r="P54" s="58"/>
      <c r="Q54" s="58"/>
    </row>
    <row r="55" spans="1:23" s="29" customFormat="1" ht="17.25" customHeight="1" x14ac:dyDescent="0.2">
      <c r="A55" s="59" t="s">
        <v>56</v>
      </c>
      <c r="B55" s="60"/>
      <c r="C55" s="60"/>
      <c r="D55" s="60"/>
      <c r="E55" s="60"/>
      <c r="F55" s="60"/>
      <c r="G55" s="60"/>
      <c r="H55" s="60"/>
      <c r="I55" s="60"/>
    </row>
    <row r="56" spans="1:23" s="29" customFormat="1" ht="11.25" customHeight="1" x14ac:dyDescent="0.2">
      <c r="A56" s="56" t="s">
        <v>58</v>
      </c>
      <c r="B56" s="56"/>
      <c r="C56" s="56"/>
      <c r="D56" s="56"/>
      <c r="E56" s="56"/>
      <c r="F56" s="56"/>
      <c r="G56" s="56"/>
      <c r="H56" s="56"/>
      <c r="I56" s="56"/>
      <c r="J56" s="58"/>
      <c r="K56" s="58"/>
      <c r="L56" s="58"/>
      <c r="M56" s="58"/>
      <c r="N56" s="58"/>
      <c r="O56" s="58"/>
      <c r="P56" s="58"/>
      <c r="Q56" s="58"/>
    </row>
    <row r="57" spans="1:23" s="29" customFormat="1" ht="12.75" customHeight="1" x14ac:dyDescent="0.2">
      <c r="A57" s="59" t="s">
        <v>56</v>
      </c>
      <c r="B57" s="60"/>
      <c r="C57" s="60"/>
      <c r="D57" s="60"/>
      <c r="E57" s="60"/>
      <c r="F57" s="60"/>
      <c r="G57" s="60"/>
      <c r="H57" s="60"/>
      <c r="I57" s="60"/>
      <c r="W57" s="35"/>
    </row>
    <row r="58" spans="1:23" x14ac:dyDescent="0.2">
      <c r="B58" s="2"/>
      <c r="C58" s="7"/>
      <c r="D58" s="2"/>
      <c r="E58" s="2"/>
      <c r="F58" s="2"/>
      <c r="G58" s="2"/>
      <c r="H58" s="2"/>
      <c r="I58" s="2"/>
      <c r="J58" s="2"/>
      <c r="K58" s="24"/>
      <c r="L58" s="2"/>
      <c r="M58" s="24"/>
      <c r="N58" s="2"/>
      <c r="O58" s="2"/>
      <c r="P58" s="2"/>
    </row>
    <row r="60" spans="1:23" x14ac:dyDescent="0.2">
      <c r="A60" s="67"/>
      <c r="B60" s="67"/>
      <c r="C60" s="67"/>
      <c r="D60" s="67"/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</row>
  </sheetData>
  <mergeCells count="52">
    <mergeCell ref="A1:C1"/>
    <mergeCell ref="I1:O1"/>
    <mergeCell ref="A8:N8"/>
    <mergeCell ref="A9:B9"/>
    <mergeCell ref="A10:B10"/>
    <mergeCell ref="K5:Q5"/>
    <mergeCell ref="A60:P60"/>
    <mergeCell ref="K15:K16"/>
    <mergeCell ref="M15:M16"/>
    <mergeCell ref="N15:P16"/>
    <mergeCell ref="E15:E16"/>
    <mergeCell ref="K40:K41"/>
    <mergeCell ref="A15:A16"/>
    <mergeCell ref="B15:B16"/>
    <mergeCell ref="A18:P18"/>
    <mergeCell ref="A21:M21"/>
    <mergeCell ref="A38:M38"/>
    <mergeCell ref="A23:M23"/>
    <mergeCell ref="A24:M24"/>
    <mergeCell ref="K26:K27"/>
    <mergeCell ref="A51:M51"/>
    <mergeCell ref="A25:P25"/>
    <mergeCell ref="A12:P12"/>
    <mergeCell ref="C15:C16"/>
    <mergeCell ref="D15:D16"/>
    <mergeCell ref="A14:P14"/>
    <mergeCell ref="A13:H13"/>
    <mergeCell ref="A32:P32"/>
    <mergeCell ref="A35:M35"/>
    <mergeCell ref="A36:M36"/>
    <mergeCell ref="A37:M37"/>
    <mergeCell ref="A22:M22"/>
    <mergeCell ref="K33:K34"/>
    <mergeCell ref="A28:M28"/>
    <mergeCell ref="A29:M29"/>
    <mergeCell ref="A30:M30"/>
    <mergeCell ref="A31:M31"/>
    <mergeCell ref="A54:Q54"/>
    <mergeCell ref="A55:I55"/>
    <mergeCell ref="A56:Q56"/>
    <mergeCell ref="A57:I57"/>
    <mergeCell ref="A52:M52"/>
    <mergeCell ref="A39:P39"/>
    <mergeCell ref="A42:M42"/>
    <mergeCell ref="A43:M43"/>
    <mergeCell ref="A44:M44"/>
    <mergeCell ref="A45:M45"/>
    <mergeCell ref="A46:M46"/>
    <mergeCell ref="A47:M47"/>
    <mergeCell ref="A48:M48"/>
    <mergeCell ref="A49:M49"/>
    <mergeCell ref="A50:M50"/>
  </mergeCells>
  <phoneticPr fontId="4" type="noConversion"/>
  <pageMargins left="0.78740157480314965" right="0.39370078740157483" top="0.39370078740157483" bottom="0.39370078740157483" header="0.23622047244094491" footer="0.23622047244094491"/>
  <pageSetup paperSize="9" scale="86" fitToHeight="30000" orientation="landscape" r:id="rId1"/>
  <headerFooter alignWithMargins="0"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3" r:id="rId4" name="Button 29">
              <controlPr defaultSize="0" print="0" autoFill="0" autoPict="0" macro="[0]!Лист1.CollapseRows">
                <anchor moveWithCells="1" sizeWithCells="1">
                  <from>
                    <xdr:col>1</xdr:col>
                    <xdr:colOff>19050</xdr:colOff>
                    <xdr:row>15</xdr:row>
                    <xdr:rowOff>895350</xdr:rowOff>
                  </from>
                  <to>
                    <xdr:col>1</xdr:col>
                    <xdr:colOff>1152525</xdr:colOff>
                    <xdr:row>15</xdr:row>
                    <xdr:rowOff>1085850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2"/>
  <sheetViews>
    <sheetView workbookViewId="0">
      <selection activeCell="A12" sqref="A12"/>
    </sheetView>
  </sheetViews>
  <sheetFormatPr defaultRowHeight="12.75" x14ac:dyDescent="0.2"/>
  <sheetData>
    <row r="12" spans="1:1" x14ac:dyDescent="0.2">
      <c r="A12">
        <f>MAX('Мои данные'!L:L)</f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Мои данные</vt:lpstr>
      <vt:lpstr>Вспомогательный</vt:lpstr>
      <vt:lpstr>'Мои данные'!Заголовки_для_печати</vt:lpstr>
      <vt:lpstr>'Мои данные'!Область_печати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Линькова Наталья Григорьевна</dc:creator>
  <dc:description>17.05.2010</dc:description>
  <cp:lastModifiedBy>Игнатьева Маргарита Олеговна</cp:lastModifiedBy>
  <cp:lastPrinted>2017-02-20T00:45:16Z</cp:lastPrinted>
  <dcterms:created xsi:type="dcterms:W3CDTF">2007-02-21T08:42:24Z</dcterms:created>
  <dcterms:modified xsi:type="dcterms:W3CDTF">2017-02-20T00:45:22Z</dcterms:modified>
</cp:coreProperties>
</file>