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данные'!$18:$18</definedName>
    <definedName name="_xlnm.Print_Area" localSheetId="0">'Мои данные'!$A$1:$P$61</definedName>
  </definedNames>
  <calcPr calcId="152511"/>
</workbook>
</file>

<file path=xl/calcChain.xml><?xml version="1.0" encoding="utf-8"?>
<calcChain xmlns="http://schemas.openxmlformats.org/spreadsheetml/2006/main">
  <c r="E42" i="1" l="1"/>
  <c r="E43" i="1"/>
  <c r="E35" i="1"/>
  <c r="E36" i="1"/>
  <c r="E27" i="1"/>
  <c r="E28" i="1"/>
  <c r="E20" i="1"/>
  <c r="E21" i="1"/>
  <c r="A12" i="2"/>
  <c r="O39" i="1"/>
  <c r="N52" i="1"/>
  <c r="F28" i="1"/>
  <c r="O40" i="1"/>
  <c r="N22" i="1"/>
  <c r="N23" i="1"/>
  <c r="N25" i="1"/>
  <c r="P43" i="1"/>
  <c r="F42" i="1"/>
  <c r="N50" i="1"/>
  <c r="O47" i="1"/>
  <c r="N37" i="1"/>
  <c r="O33" i="1"/>
  <c r="O25" i="1"/>
  <c r="O44" i="1"/>
  <c r="O48" i="1"/>
  <c r="N38" i="1"/>
  <c r="O43" i="1"/>
  <c r="N39" i="1"/>
  <c r="O23" i="1"/>
  <c r="O45" i="1"/>
  <c r="O51" i="1"/>
  <c r="P42" i="1"/>
  <c r="P20" i="1"/>
  <c r="O53" i="1"/>
  <c r="N29" i="1"/>
  <c r="N54" i="1"/>
  <c r="O54" i="1"/>
  <c r="O22" i="1"/>
  <c r="O31" i="1"/>
  <c r="P27" i="1"/>
  <c r="N46" i="1"/>
  <c r="N48" i="1"/>
  <c r="N32" i="1"/>
  <c r="N20" i="1"/>
  <c r="O27" i="1"/>
  <c r="O30" i="1"/>
  <c r="N44" i="1"/>
  <c r="N30" i="1"/>
  <c r="F27" i="1"/>
  <c r="D27" i="1" s="1"/>
  <c r="P35" i="1"/>
  <c r="N35" i="1" s="1"/>
  <c r="N45" i="1"/>
  <c r="P28" i="1"/>
  <c r="O38" i="1"/>
  <c r="O35" i="1"/>
  <c r="O46" i="1"/>
  <c r="O28" i="1"/>
  <c r="N40" i="1"/>
  <c r="P36" i="1"/>
  <c r="P21" i="1"/>
  <c r="O24" i="1"/>
  <c r="F43" i="1"/>
  <c r="D43" i="1" s="1"/>
  <c r="N53" i="1"/>
  <c r="N47" i="1"/>
  <c r="N49" i="1"/>
  <c r="N36" i="1"/>
  <c r="D28" i="1"/>
  <c r="O36" i="1"/>
  <c r="F35" i="1"/>
  <c r="O29" i="1"/>
  <c r="O32" i="1"/>
  <c r="F20" i="1"/>
  <c r="N42" i="1"/>
  <c r="O52" i="1"/>
  <c r="N31" i="1"/>
  <c r="O50" i="1"/>
  <c r="F36" i="1"/>
  <c r="D36" i="1" s="1"/>
  <c r="F21" i="1"/>
  <c r="D21" i="1" s="1"/>
  <c r="D35" i="1"/>
  <c r="N33" i="1"/>
  <c r="N28" i="1"/>
  <c r="O49" i="1"/>
  <c r="O37" i="1"/>
  <c r="N24" i="1"/>
  <c r="N51" i="1"/>
  <c r="O42" i="1"/>
  <c r="O20" i="1"/>
  <c r="N27" i="1"/>
  <c r="O21" i="1"/>
  <c r="D20" i="1" l="1"/>
  <c r="D42" i="1"/>
  <c r="N21" i="1"/>
  <c r="N43" i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  <author>YuKazaeva</author>
  </authors>
  <commentLis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4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  <comment ref="C6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6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<sst xmlns="http://schemas.openxmlformats.org/spreadsheetml/2006/main" count="99" uniqueCount="67">
  <si>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</si>
  <si>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</si>
  <si>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</si>
  <si>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</si>
  <si>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</si>
  <si>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</t>
  </si>
  <si>
    <t>Обмеры внутрицеховых трубопроводов различного назначения из стандартных стальных цельнотянутых труб, расположенных на высоте от пола: до 3 м</t>
  </si>
  <si>
    <t>СБЦИ5-31-1
"Инженерно-геодезические изыскания (2006 г.)"</t>
  </si>
  <si>
    <t>цены 2001</t>
  </si>
  <si>
    <t>10 участков трубопровода</t>
  </si>
  <si>
    <t>Составление планов разрезов и схем расположения трубопроводов по готовым зарисовкам и эскизам с увязкой всех размеров</t>
  </si>
  <si>
    <t>СБЦИ5-50-1
"Инженерно-геодезические изыскания (2006 г.)"</t>
  </si>
  <si>
    <t>10 участков</t>
  </si>
  <si>
    <t>Итого прямые затраты по разделу в ценах 2001г.</t>
  </si>
  <si>
    <t>Итоги по разделу 1 Обмерные работы :</t>
  </si>
  <si>
    <t xml:space="preserve">  Итого</t>
  </si>
  <si>
    <t xml:space="preserve">  Всего с учетом "Инженерные изыскания (приложение 3 к письму Минстроя России от 03.06.2016 №17269-ХМ/09) СМР=3,93"</t>
  </si>
  <si>
    <t xml:space="preserve">  Итого по разделу 1 Обмерные работы</t>
  </si>
  <si>
    <t>Раздел 2. Проектные работы  (ВО)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</si>
  <si>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</si>
  <si>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</si>
  <si>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0,4*0,06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</si>
  <si>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</si>
  <si>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</si>
  <si>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</si>
  <si>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</si>
  <si>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Итоги по разделу 2 Проектные работы  (ВО) :</t>
  </si>
  <si>
    <t xml:space="preserve">  Проектные работы: Капитальный ремонт зданий и сооружений ж/г назначения (2012)</t>
  </si>
  <si>
    <t xml:space="preserve">  Всего с учетом "Проектные работы (приложение 3 к письму Минстроя России от 03. 06.2016 №17269-ХМ/09) СМР=3,92"</t>
  </si>
  <si>
    <t xml:space="preserve">  Итого по разделу 2 Проектные работы  (ВО)</t>
  </si>
  <si>
    <t>Раздел 3. ПОС</t>
  </si>
  <si>
    <t>0,4*0,06*0,04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</si>
  <si>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п.18 Проект организации строительства (ПОС): здания бескаркасные многоэтажные - 4,0% ПЗ=0,04)</t>
  </si>
  <si>
    <t>Итоги по разделу 3 ПОС :</t>
  </si>
  <si>
    <t xml:space="preserve">  Итого по разделу 3 ПОС</t>
  </si>
  <si>
    <t>Раздел 4. Сметная документация</t>
  </si>
  <si>
    <t>0,4*0,06*0,05</t>
  </si>
  <si>
    <t>(ОП п.1.9 При разработке технической документации по капитальному ремонту с использованием существующей технической (исполнительной) документации (до) ПЗ=0,4;
Таб.12 п.14 Ремонт (замена) систем водоснабжения и канализации: здания бескаркасные многоэтажные - 6,0% ПЗ=0,06;
Таб.12 п.19 Сметная документация: здания бескаркасные многоэтажные - 5,0% ПЗ=0,05)</t>
  </si>
  <si>
    <t>Итоги по разделу 4 Сметная документация :</t>
  </si>
  <si>
    <t xml:space="preserve">  Итого по разделу 4 Сметная документация</t>
  </si>
  <si>
    <t>Итого прямые затраты по смете в ценах 2001г.</t>
  </si>
  <si>
    <t>Итоги по смете:</t>
  </si>
  <si>
    <t xml:space="preserve">  НДС 18%</t>
  </si>
  <si>
    <t xml:space="preserve">  ВСЕГО по смете</t>
  </si>
  <si>
    <t>Объем</t>
  </si>
  <si>
    <t xml:space="preserve">  Итого Поз. 1,2 "Инженерные изыскания (приложение 3 к письму Минстроя России от 03.06.2016 №17269-ХМ/09) СМР=3,93"</t>
  </si>
  <si>
    <t>1</t>
  </si>
  <si>
    <t>2</t>
  </si>
  <si>
    <t>3</t>
  </si>
  <si>
    <t>5</t>
  </si>
  <si>
    <t xml:space="preserve">  Итого Поз. 3-8 "Проектные работы (приложение 3 к письму Минстроя России от 03. 06.2016 №17269-ХМ/09) СМР=3,92"</t>
  </si>
  <si>
    <t>Ед.изм.</t>
  </si>
  <si>
    <t>(должность, подпись, расшифровка)</t>
  </si>
  <si>
    <t>УТВЕРЖДЕНО:</t>
  </si>
  <si>
    <t>СМЕТА №</t>
  </si>
  <si>
    <t>на проектные работы</t>
  </si>
  <si>
    <t>Наименование организации заказчика      НО "Хабаровский краевой фонд капитального ремонта"</t>
  </si>
  <si>
    <t>Наименование  объекта    2-х  этажный жилой дом по адресу:  Хабаровский край, р-он Хабаровский, с.Ракитное, пер.Школьный, д.3</t>
  </si>
  <si>
    <t>Год постройки                   1961</t>
  </si>
  <si>
    <t>Объем здания, м3              5326</t>
  </si>
  <si>
    <t>Здание жилое                     3 этажа    2 подъезда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</si>
  <si>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</si>
  <si>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</si>
  <si>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</si>
  <si>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</si>
  <si>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___________________А.В.Сидорова</t>
  </si>
  <si>
    <t xml:space="preserve">Вид проектных или изыскательских работ: На разработку проектной документации на капитальный ремонт внутридомовой инженерной системы водоотведения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</si>
</sst>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85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16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16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4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7" fillId="0" borderId="0" xfId="0" applyFont="1" applyAlignment="1">
      <alignment horizontal="left" vertical="top"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0" fillId="0" borderId="0" xfId="0" applyFont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9" fillId="0" borderId="0" xfId="21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0" fillId="0" borderId="0" xfId="0" applyAlignment="1"/>
    <xf numFmtId="0" fontId="5" fillId="0" borderId="0" xfId="0" applyFont="1" applyAlignment="1">
      <alignment vertical="top"/>
    </xf>
    <xf numFmtId="0" fontId="5" fillId="0" borderId="0" xfId="0" applyFont="1" applyBorder="1" applyAlignment="1"/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16</xdr:row>
          <xdr:rowOff>895350</xdr:rowOff>
        </xdr:from>
        <xdr:to>
          <xdr:col>1</xdr:col>
          <xdr:colOff>1152525</xdr:colOff>
          <xdr:row>16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62"/>
  <sheetViews>
    <sheetView showGridLines="0" tabSelected="1" zoomScale="120" zoomScaleNormal="120" workbookViewId="0">
      <selection activeCell="D5" sqref="D5"/>
    </sheetView>
  </sheetViews>
  <sheetFormatPr defaultRowHeight="12.75" x14ac:dyDescent="0.2"/>
  <cols>
    <col min="1" max="1" width="5.7109375" style="1" customWidth="1"/>
    <col min="2" max="2" width="29.42578125" style="1" customWidth="1"/>
    <col min="3" max="3" width="28" style="1" customWidth="1"/>
    <col min="4" max="4" width="44.5703125" style="1" customWidth="1"/>
    <col min="5" max="5" width="31" style="1" customWidth="1"/>
    <col min="6" max="6" width="0.140625" style="1" customWidth="1"/>
    <col min="7" max="7" width="10" style="1" hidden="1" customWidth="1"/>
    <col min="8" max="8" width="12" style="1" hidden="1" customWidth="1"/>
    <col min="9" max="9" width="8.7109375" style="1" hidden="1" customWidth="1"/>
    <col min="10" max="10" width="10.7109375" style="1" hidden="1" customWidth="1"/>
    <col min="11" max="11" width="7" style="1" hidden="1" customWidth="1"/>
    <col min="12" max="12" width="8" style="1" hidden="1" customWidth="1"/>
    <col min="13" max="13" width="7.42578125" style="1" customWidth="1"/>
    <col min="14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28" s="29" customFormat="1" ht="9.75" customHeight="1" x14ac:dyDescent="0.2">
      <c r="I1" s="31" t="s">
        <v>53</v>
      </c>
      <c r="W1" s="30"/>
    </row>
    <row r="2" spans="1:28" s="29" customFormat="1" ht="12.75" customHeight="1" x14ac:dyDescent="0.2">
      <c r="A2" s="58"/>
      <c r="B2" s="59"/>
      <c r="C2" s="32"/>
      <c r="D2"/>
      <c r="F2"/>
      <c r="G2" s="32"/>
      <c r="H2" s="60"/>
      <c r="I2" s="61"/>
      <c r="J2" s="61"/>
      <c r="K2" s="61"/>
      <c r="L2" s="61"/>
      <c r="M2" s="61"/>
      <c r="N2" s="61"/>
      <c r="O2" s="61"/>
      <c r="P2" s="61"/>
      <c r="Q2" s="61"/>
    </row>
    <row r="3" spans="1:28" s="29" customFormat="1" ht="12.75" customHeight="1" x14ac:dyDescent="0.2">
      <c r="A3" s="80"/>
      <c r="B3" s="77"/>
      <c r="C3" s="77"/>
      <c r="D3"/>
      <c r="E3" s="83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30"/>
    </row>
    <row r="4" spans="1:28" s="29" customFormat="1" ht="16.5" customHeight="1" x14ac:dyDescent="0.2">
      <c r="A4" s="80"/>
      <c r="B4" s="77"/>
      <c r="C4" s="77"/>
      <c r="D4"/>
      <c r="E4" s="60" t="s">
        <v>63</v>
      </c>
      <c r="F4" s="61"/>
      <c r="G4" s="61"/>
      <c r="H4" s="61"/>
      <c r="I4" s="61"/>
      <c r="J4" s="61"/>
      <c r="K4" s="60"/>
      <c r="L4" s="61"/>
      <c r="M4" s="61"/>
      <c r="N4" s="61"/>
      <c r="O4" s="61"/>
      <c r="P4" s="61"/>
      <c r="Q4" s="30"/>
    </row>
    <row r="5" spans="1:28" s="29" customFormat="1" ht="26.25" customHeight="1" x14ac:dyDescent="0.2">
      <c r="A5" s="41"/>
      <c r="B5" s="42"/>
      <c r="C5" s="42"/>
      <c r="D5"/>
      <c r="E5" s="66" t="s">
        <v>64</v>
      </c>
      <c r="F5" s="77"/>
      <c r="G5" s="77"/>
      <c r="H5" s="77"/>
      <c r="I5" s="77"/>
      <c r="J5" s="77"/>
      <c r="K5" s="77"/>
      <c r="L5" s="43"/>
      <c r="M5" s="43"/>
      <c r="N5" s="43"/>
      <c r="O5" s="43"/>
      <c r="P5" s="43"/>
      <c r="Q5" s="30"/>
    </row>
    <row r="6" spans="1:28" s="29" customFormat="1" ht="9" customHeight="1" x14ac:dyDescent="0.2">
      <c r="A6" s="35"/>
      <c r="B6" s="32"/>
      <c r="C6" s="32"/>
      <c r="D6" s="33"/>
      <c r="F6"/>
      <c r="G6" s="34"/>
      <c r="H6" s="32"/>
      <c r="I6" s="32"/>
      <c r="Q6" s="30"/>
    </row>
    <row r="7" spans="1:28" s="29" customFormat="1" x14ac:dyDescent="0.2">
      <c r="A7" s="35"/>
      <c r="B7" s="32"/>
      <c r="C7" s="32"/>
      <c r="D7" s="34"/>
      <c r="E7" s="84" t="s">
        <v>65</v>
      </c>
      <c r="F7" s="84"/>
      <c r="G7" s="84"/>
      <c r="H7" s="84"/>
      <c r="I7" s="84"/>
      <c r="J7" s="84"/>
      <c r="K7" s="84"/>
      <c r="Q7" s="30"/>
    </row>
    <row r="8" spans="1:28" s="29" customFormat="1" ht="12.75" customHeight="1" x14ac:dyDescent="0.2">
      <c r="A8" s="35"/>
      <c r="B8" s="32"/>
      <c r="C8" s="32"/>
      <c r="D8" s="36" t="s">
        <v>54</v>
      </c>
      <c r="F8" s="32"/>
      <c r="G8" s="32"/>
      <c r="H8" s="32"/>
      <c r="I8" s="32"/>
      <c r="Q8" s="30"/>
    </row>
    <row r="9" spans="1:28" s="29" customFormat="1" x14ac:dyDescent="0.2">
      <c r="A9" s="9"/>
      <c r="B9" s="9"/>
      <c r="C9" s="9"/>
      <c r="D9" s="9" t="s">
        <v>55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AB9" s="30"/>
    </row>
    <row r="10" spans="1:28" s="29" customFormat="1" x14ac:dyDescent="0.2">
      <c r="A10" s="80" t="s">
        <v>57</v>
      </c>
      <c r="B10" s="80"/>
      <c r="C10" s="80"/>
      <c r="D10" s="80"/>
      <c r="E10" s="80"/>
      <c r="F10" s="80"/>
      <c r="G10" s="80"/>
      <c r="H10" s="80"/>
      <c r="I10" s="80"/>
      <c r="J10" s="82"/>
      <c r="K10" s="82"/>
      <c r="L10" s="82"/>
      <c r="M10" s="82"/>
      <c r="Q10" s="30"/>
    </row>
    <row r="11" spans="1:28" s="29" customFormat="1" x14ac:dyDescent="0.2">
      <c r="A11" s="66" t="s">
        <v>58</v>
      </c>
      <c r="B11" s="66"/>
      <c r="C11" s="37"/>
      <c r="D11" s="38"/>
      <c r="F11" s="32"/>
      <c r="G11" s="32"/>
      <c r="H11" s="32"/>
      <c r="I11" s="32"/>
      <c r="Q11" s="30"/>
    </row>
    <row r="12" spans="1:28" s="29" customFormat="1" x14ac:dyDescent="0.2">
      <c r="A12" s="67" t="s">
        <v>59</v>
      </c>
      <c r="B12" s="67"/>
      <c r="C12" s="37"/>
      <c r="D12" s="38"/>
      <c r="F12" s="32"/>
      <c r="G12" s="32"/>
      <c r="H12" s="32"/>
      <c r="I12" s="32"/>
      <c r="Q12" s="30"/>
    </row>
    <row r="13" spans="1:28" s="29" customFormat="1" x14ac:dyDescent="0.2">
      <c r="A13" s="39" t="s">
        <v>60</v>
      </c>
      <c r="B13" s="39"/>
      <c r="C13" s="37"/>
      <c r="D13" s="39"/>
      <c r="F13" s="32"/>
      <c r="G13" s="32"/>
      <c r="H13" s="32"/>
      <c r="I13" s="32"/>
      <c r="Q13" s="30"/>
    </row>
    <row r="14" spans="1:28" s="29" customFormat="1" ht="25.5" customHeight="1" x14ac:dyDescent="0.2">
      <c r="A14" s="80" t="s">
        <v>66</v>
      </c>
      <c r="B14" s="59"/>
      <c r="C14" s="59"/>
      <c r="D14" s="59"/>
      <c r="E14" s="46"/>
      <c r="F14" s="46"/>
      <c r="G14" s="46"/>
      <c r="H14" s="44"/>
      <c r="I14" s="45"/>
      <c r="J14" s="45"/>
      <c r="K14" s="45"/>
      <c r="L14" s="45"/>
      <c r="M14" s="45"/>
      <c r="N14" s="45"/>
      <c r="O14" s="45"/>
      <c r="P14" s="45"/>
      <c r="Q14" s="45"/>
    </row>
    <row r="15" spans="1:28" s="29" customFormat="1" x14ac:dyDescent="0.2">
      <c r="A15" s="81" t="s">
        <v>56</v>
      </c>
      <c r="B15" s="81"/>
      <c r="C15" s="81"/>
      <c r="D15" s="81"/>
      <c r="E15" s="47"/>
      <c r="F15" s="47"/>
      <c r="G15" s="47"/>
      <c r="H15" s="32"/>
      <c r="I15" s="32"/>
      <c r="P15" s="40"/>
      <c r="Q15" s="30"/>
    </row>
    <row r="16" spans="1:28" s="4" customFormat="1" x14ac:dyDescent="0.2">
      <c r="A16" s="62" t="s">
        <v>0</v>
      </c>
      <c r="B16" s="64" t="s">
        <v>1</v>
      </c>
      <c r="C16" s="64" t="s">
        <v>2</v>
      </c>
      <c r="D16" s="64" t="s">
        <v>3</v>
      </c>
      <c r="E16" s="62" t="s">
        <v>44</v>
      </c>
      <c r="F16" s="3"/>
      <c r="G16" s="3"/>
      <c r="H16" s="3"/>
      <c r="I16" s="3"/>
      <c r="J16" s="3"/>
      <c r="K16" s="3"/>
      <c r="L16" s="3"/>
      <c r="M16" s="62" t="s">
        <v>51</v>
      </c>
      <c r="N16" s="69" t="s">
        <v>4</v>
      </c>
      <c r="O16" s="70"/>
      <c r="P16" s="71"/>
    </row>
    <row r="17" spans="1:27" s="4" customFormat="1" ht="18.75" customHeight="1" x14ac:dyDescent="0.2">
      <c r="A17" s="63"/>
      <c r="B17" s="65"/>
      <c r="C17" s="65"/>
      <c r="D17" s="65"/>
      <c r="E17" s="63"/>
      <c r="F17" s="3"/>
      <c r="G17" s="3"/>
      <c r="H17" s="3"/>
      <c r="I17" s="3"/>
      <c r="J17" s="3"/>
      <c r="K17" s="3"/>
      <c r="L17" s="3"/>
      <c r="M17" s="63"/>
      <c r="N17" s="72"/>
      <c r="O17" s="73"/>
      <c r="P17" s="74"/>
    </row>
    <row r="18" spans="1:27" x14ac:dyDescent="0.2">
      <c r="A18" s="10">
        <v>1</v>
      </c>
      <c r="B18" s="10">
        <v>2</v>
      </c>
      <c r="C18" s="10">
        <v>3</v>
      </c>
      <c r="D18" s="10">
        <v>4</v>
      </c>
      <c r="E18" s="10">
        <v>5</v>
      </c>
      <c r="F18" s="10"/>
      <c r="G18" s="10"/>
      <c r="H18" s="10"/>
      <c r="I18" s="10"/>
      <c r="J18" s="10"/>
      <c r="K18" s="10"/>
      <c r="L18" s="10"/>
      <c r="M18" s="10">
        <v>6</v>
      </c>
      <c r="N18" s="10">
        <v>5</v>
      </c>
      <c r="O18" s="10">
        <v>6</v>
      </c>
      <c r="P18" s="10">
        <v>7</v>
      </c>
    </row>
    <row r="19" spans="1:27" s="5" customFormat="1" ht="21" customHeight="1" x14ac:dyDescent="0.2">
      <c r="A19" s="55" t="s">
        <v>5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27" s="6" customFormat="1" ht="74.25" customHeight="1" x14ac:dyDescent="0.2">
      <c r="A20" s="11" t="s">
        <v>46</v>
      </c>
      <c r="B20" s="12" t="s">
        <v>6</v>
      </c>
      <c r="C20" s="12" t="s">
        <v>7</v>
      </c>
      <c r="D20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(42561) * 242 </v>
      </c>
      <c r="E20" s="14">
        <f>IF( 0.7 = "","0",0.7)</f>
        <v>0.7</v>
      </c>
      <c r="F20" s="14" t="str">
        <f ca="1">IF(INDIRECT("J" &amp; ROW())="текущие цены", IF(INDIRECT("G" &amp; ROW())="", "0", "0"), IF(INDIRECT("G" &amp; ROW())="", "242","242"))</f>
        <v>242</v>
      </c>
      <c r="G20" s="14"/>
      <c r="H20" s="15">
        <v>42561</v>
      </c>
      <c r="I20" s="14"/>
      <c r="J20" s="14" t="s">
        <v>8</v>
      </c>
      <c r="K20" s="14"/>
      <c r="L20" s="14"/>
      <c r="M20" s="27" t="s">
        <v>9</v>
      </c>
      <c r="N20" s="16">
        <f ca="1">IF(ISNUMBER(INDIRECT("P" &amp; ROW())), INDIRECT("P" &amp; ROW())*0.4, " ")</f>
        <v>67.600000000000009</v>
      </c>
      <c r="O20" s="16">
        <f ca="1">IF(ISNUMBER(INDIRECT("P" &amp; ROW())), INDIRECT("P" &amp; ROW())*0.6, " ")</f>
        <v>101.39999999999999</v>
      </c>
      <c r="P20" s="16">
        <f ca="1">IF(INDIRECT("J" &amp; ROW())="текущие цены", 0, 169)</f>
        <v>169</v>
      </c>
      <c r="Q20" s="5"/>
      <c r="R20" s="5"/>
      <c r="S20" s="5"/>
      <c r="T20" s="5"/>
      <c r="U20" s="5"/>
      <c r="AA20" s="5"/>
    </row>
    <row r="21" spans="1:27" ht="61.5" customHeight="1" x14ac:dyDescent="0.2">
      <c r="A21" s="17" t="s">
        <v>47</v>
      </c>
      <c r="B21" s="18" t="s">
        <v>10</v>
      </c>
      <c r="C21" s="18" t="s">
        <v>11</v>
      </c>
      <c r="D21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 xml:space="preserve">(42561) * 63 </v>
      </c>
      <c r="E21" s="20">
        <f>IF( 0.7 = "","0",0.7)</f>
        <v>0.7</v>
      </c>
      <c r="F21" s="20" t="str">
        <f ca="1">IF(INDIRECT("J" &amp; ROW())="текущие цены", IF(INDIRECT("G" &amp; ROW())="", "0", "0"), IF(INDIRECT("G" &amp; ROW())="", "63","63"))</f>
        <v>63</v>
      </c>
      <c r="G21" s="20"/>
      <c r="H21" s="21">
        <v>42561</v>
      </c>
      <c r="I21" s="20"/>
      <c r="J21" s="20" t="s">
        <v>8</v>
      </c>
      <c r="K21" s="20"/>
      <c r="L21" s="20"/>
      <c r="M21" s="28" t="s">
        <v>12</v>
      </c>
      <c r="N21" s="22">
        <f ca="1">IF(ISNUMBER(INDIRECT("P" &amp; ROW())), INDIRECT("P" &amp; ROW())*0.4, " ")</f>
        <v>17.600000000000001</v>
      </c>
      <c r="O21" s="22">
        <f ca="1">IF(ISNUMBER(INDIRECT("P" &amp; ROW())), INDIRECT("P" &amp; ROW())*0.6, " ")</f>
        <v>26.4</v>
      </c>
      <c r="P21" s="22">
        <f ca="1">IF(INDIRECT("J" &amp; ROW())="текущие цены", 0, 44)</f>
        <v>44</v>
      </c>
      <c r="Q21" s="5"/>
      <c r="R21" s="5"/>
      <c r="S21" s="5"/>
      <c r="T21" s="5"/>
      <c r="U21" s="5"/>
    </row>
    <row r="22" spans="1:27" x14ac:dyDescent="0.2">
      <c r="A22" s="48" t="s">
        <v>13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16">
        <f t="shared" ref="N22:N25" ca="1" si="0">IF(ISNUMBER(INDIRECT("P" &amp; ROW())), INDIRECT("P" &amp; ROW()) * 0.4, " ")</f>
        <v>85.2</v>
      </c>
      <c r="O22" s="16">
        <f t="shared" ref="O22:O25" ca="1" si="1">IF(ISNUMBER(INDIRECT("P" &amp; ROW())), INDIRECT("P" &amp; ROW()) * 0.6, " ")</f>
        <v>127.8</v>
      </c>
      <c r="P22" s="16">
        <v>213</v>
      </c>
      <c r="Q22" s="5"/>
      <c r="R22" s="5"/>
      <c r="S22" s="5"/>
      <c r="T22" s="5"/>
      <c r="U22" s="5"/>
    </row>
    <row r="23" spans="1:27" x14ac:dyDescent="0.2">
      <c r="A23" s="57" t="s">
        <v>14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23" t="str">
        <f t="shared" ca="1" si="0"/>
        <v xml:space="preserve"> </v>
      </c>
      <c r="O23" s="23" t="str">
        <f t="shared" ca="1" si="1"/>
        <v xml:space="preserve"> </v>
      </c>
      <c r="P23" s="23"/>
      <c r="Q23" s="5"/>
      <c r="R23" s="5"/>
      <c r="S23" s="5"/>
      <c r="T23" s="5"/>
      <c r="U23" s="5"/>
    </row>
    <row r="24" spans="1:27" ht="15.75" customHeight="1" x14ac:dyDescent="0.2">
      <c r="A24" s="48" t="s">
        <v>16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16">
        <f t="shared" ca="1" si="0"/>
        <v>334.8</v>
      </c>
      <c r="O24" s="16">
        <f t="shared" ca="1" si="1"/>
        <v>502.2</v>
      </c>
      <c r="P24" s="16">
        <v>837</v>
      </c>
      <c r="Q24" s="5"/>
      <c r="R24" s="5"/>
      <c r="S24" s="5"/>
      <c r="T24" s="5"/>
      <c r="U24" s="5"/>
    </row>
    <row r="25" spans="1:27" x14ac:dyDescent="0.2">
      <c r="A25" s="53" t="s">
        <v>17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24">
        <f t="shared" ca="1" si="0"/>
        <v>334.8</v>
      </c>
      <c r="O25" s="24">
        <f t="shared" ca="1" si="1"/>
        <v>502.2</v>
      </c>
      <c r="P25" s="24">
        <v>837</v>
      </c>
      <c r="Q25" s="5"/>
      <c r="R25" s="5"/>
      <c r="S25" s="5"/>
      <c r="T25" s="5"/>
      <c r="U25" s="5"/>
    </row>
    <row r="26" spans="1:27" ht="21" customHeight="1" x14ac:dyDescent="0.2">
      <c r="A26" s="55" t="s">
        <v>18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"/>
      <c r="R26" s="5"/>
      <c r="S26" s="5"/>
      <c r="T26" s="5"/>
      <c r="U26" s="5"/>
    </row>
    <row r="27" spans="1:27" ht="51" customHeight="1" x14ac:dyDescent="0.2">
      <c r="A27" s="11" t="s">
        <v>48</v>
      </c>
      <c r="B27" s="12" t="s">
        <v>19</v>
      </c>
      <c r="C27" s="12" t="s">
        <v>20</v>
      </c>
      <c r="D27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0,4*0,06</v>
      </c>
      <c r="E27" s="14">
        <f>IF( 1 = "","0",1)</f>
        <v>1</v>
      </c>
      <c r="F27" s="14" t="str">
        <f ca="1">IF(INDIRECT("J" &amp; ROW())="текущие цены", IF(INDIRECT("G" &amp; ROW())="", "0", "0"), IF(INDIRECT("G" &amp; ROW())="", "3240","135000"))</f>
        <v>135000</v>
      </c>
      <c r="G27" s="14" t="s">
        <v>21</v>
      </c>
      <c r="H27" s="14"/>
      <c r="I27" s="14"/>
      <c r="J27" s="14" t="s">
        <v>8</v>
      </c>
      <c r="K27" s="14" t="s">
        <v>22</v>
      </c>
      <c r="L27" s="14">
        <v>2</v>
      </c>
      <c r="M27" s="27" t="s">
        <v>23</v>
      </c>
      <c r="N27" s="16">
        <f ca="1">IF(ISNUMBER(INDIRECT("P" &amp; ROW())), INDIRECT("P" &amp; ROW())*0.4, " ")</f>
        <v>1296</v>
      </c>
      <c r="O27" s="16">
        <f ca="1">IF(ISNUMBER(INDIRECT("P" &amp; ROW())), INDIRECT("P" &amp; ROW())*0.6, " ")</f>
        <v>1944</v>
      </c>
      <c r="P27" s="16">
        <f ca="1">IF(INDIRECT("J" &amp; ROW())="текущие цены", 0, 3240)</f>
        <v>3240</v>
      </c>
      <c r="Q27" s="5"/>
      <c r="R27" s="5"/>
      <c r="S27" s="5"/>
      <c r="T27" s="5"/>
      <c r="U27" s="5"/>
    </row>
    <row r="28" spans="1:27" ht="63" customHeight="1" x14ac:dyDescent="0.2">
      <c r="A28" s="17">
        <v>4</v>
      </c>
      <c r="B28" s="18" t="s">
        <v>19</v>
      </c>
      <c r="C28" s="18" t="s">
        <v>24</v>
      </c>
      <c r="D28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5326 * 10 * 0,4*0,06</v>
      </c>
      <c r="E28" s="20">
        <f>IF( 5326 = "","0",5326)</f>
        <v>5326</v>
      </c>
      <c r="F28" s="20" t="str">
        <f ca="1">IF(INDIRECT("J" &amp; ROW())="текущие цены", IF(INDIRECT("G" &amp; ROW())="", "0", "0"), IF(INDIRECT("G" &amp; ROW())="", "0.24","10"))</f>
        <v>10</v>
      </c>
      <c r="G28" s="20" t="s">
        <v>21</v>
      </c>
      <c r="H28" s="20"/>
      <c r="I28" s="20"/>
      <c r="J28" s="20" t="s">
        <v>8</v>
      </c>
      <c r="K28" s="20" t="s">
        <v>22</v>
      </c>
      <c r="L28" s="20">
        <v>2</v>
      </c>
      <c r="M28" s="28" t="s">
        <v>25</v>
      </c>
      <c r="N28" s="22">
        <f ca="1">IF(ISNUMBER(INDIRECT("P" &amp; ROW())), INDIRECT("P" &amp; ROW())*0.4, " ")</f>
        <v>511.20000000000005</v>
      </c>
      <c r="O28" s="22">
        <f ca="1">IF(ISNUMBER(INDIRECT("P" &amp; ROW())), INDIRECT("P" &amp; ROW())*0.6, " ")</f>
        <v>766.8</v>
      </c>
      <c r="P28" s="22">
        <f ca="1">IF(INDIRECT("J" &amp; ROW())="текущие цены", 0, 1278)</f>
        <v>1278</v>
      </c>
      <c r="Q28" s="5"/>
      <c r="R28" s="5"/>
      <c r="S28" s="5"/>
      <c r="T28" s="5"/>
      <c r="U28" s="5"/>
    </row>
    <row r="29" spans="1:27" x14ac:dyDescent="0.2">
      <c r="A29" s="48" t="s">
        <v>13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16">
        <f t="shared" ref="N29:N33" ca="1" si="2">IF(ISNUMBER(INDIRECT("P" &amp; ROW())), INDIRECT("P" &amp; ROW()) * 0.4, " ")</f>
        <v>1807.2</v>
      </c>
      <c r="O29" s="16">
        <f t="shared" ref="O29:O33" ca="1" si="3">IF(ISNUMBER(INDIRECT("P" &amp; ROW())), INDIRECT("P" &amp; ROW()) * 0.6, " ")</f>
        <v>2710.7999999999997</v>
      </c>
      <c r="P29" s="16">
        <v>4518</v>
      </c>
      <c r="Q29" s="5"/>
      <c r="R29" s="5"/>
      <c r="S29" s="5"/>
      <c r="T29" s="5"/>
      <c r="U29" s="5"/>
    </row>
    <row r="30" spans="1:27" x14ac:dyDescent="0.2">
      <c r="A30" s="57" t="s">
        <v>26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23" t="str">
        <f t="shared" ca="1" si="2"/>
        <v xml:space="preserve"> </v>
      </c>
      <c r="O30" s="23" t="str">
        <f t="shared" ca="1" si="3"/>
        <v xml:space="preserve"> </v>
      </c>
      <c r="P30" s="23"/>
      <c r="Q30" s="5"/>
      <c r="R30" s="5"/>
      <c r="S30" s="5"/>
      <c r="T30" s="5"/>
      <c r="U30" s="5"/>
    </row>
    <row r="31" spans="1:27" ht="20.25" customHeight="1" x14ac:dyDescent="0.2">
      <c r="A31" s="48" t="s">
        <v>27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16">
        <f t="shared" ca="1" si="2"/>
        <v>1807.2</v>
      </c>
      <c r="O31" s="16">
        <f t="shared" ca="1" si="3"/>
        <v>2710.7999999999997</v>
      </c>
      <c r="P31" s="16">
        <v>4518</v>
      </c>
      <c r="Q31" s="5"/>
      <c r="R31" s="5"/>
      <c r="S31" s="5"/>
      <c r="T31" s="5"/>
      <c r="U31" s="5"/>
    </row>
    <row r="32" spans="1:27" ht="27.95" customHeight="1" x14ac:dyDescent="0.2">
      <c r="A32" s="48" t="s">
        <v>28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16">
        <f t="shared" ca="1" si="2"/>
        <v>7084.4000000000005</v>
      </c>
      <c r="O32" s="16">
        <f t="shared" ca="1" si="3"/>
        <v>10626.6</v>
      </c>
      <c r="P32" s="16">
        <v>17711</v>
      </c>
      <c r="Q32" s="5"/>
      <c r="R32" s="5"/>
      <c r="S32" s="5"/>
      <c r="T32" s="5"/>
      <c r="U32" s="5"/>
    </row>
    <row r="33" spans="1:21" x14ac:dyDescent="0.2">
      <c r="A33" s="53" t="s">
        <v>29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24">
        <f t="shared" ca="1" si="2"/>
        <v>7084.4000000000005</v>
      </c>
      <c r="O33" s="24">
        <f t="shared" ca="1" si="3"/>
        <v>10626.6</v>
      </c>
      <c r="P33" s="24">
        <v>17711</v>
      </c>
      <c r="Q33" s="5"/>
      <c r="R33" s="5"/>
      <c r="S33" s="5"/>
      <c r="T33" s="5"/>
      <c r="U33" s="5"/>
    </row>
    <row r="34" spans="1:21" ht="21" customHeight="1" x14ac:dyDescent="0.2">
      <c r="A34" s="55" t="s">
        <v>30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"/>
      <c r="R34" s="5"/>
      <c r="S34" s="5"/>
      <c r="T34" s="5"/>
      <c r="U34" s="5"/>
    </row>
    <row r="35" spans="1:21" ht="60.75" customHeight="1" x14ac:dyDescent="0.2">
      <c r="A35" s="11" t="s">
        <v>49</v>
      </c>
      <c r="B35" s="12" t="s">
        <v>19</v>
      </c>
      <c r="C35" s="12" t="s">
        <v>20</v>
      </c>
      <c r="D35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0,4*0,06*0,04</v>
      </c>
      <c r="E35" s="14">
        <f>IF( 1 = "","0",1)</f>
        <v>1</v>
      </c>
      <c r="F35" s="14" t="str">
        <f ca="1">IF(INDIRECT("J" &amp; ROW())="текущие цены", IF(INDIRECT("G" &amp; ROW())="", "0", "0"), IF(INDIRECT("G" &amp; ROW())="", "129.6","135000"))</f>
        <v>135000</v>
      </c>
      <c r="G35" s="14" t="s">
        <v>31</v>
      </c>
      <c r="H35" s="14"/>
      <c r="I35" s="14"/>
      <c r="J35" s="14" t="s">
        <v>8</v>
      </c>
      <c r="K35" s="14" t="s">
        <v>32</v>
      </c>
      <c r="L35" s="14">
        <v>3</v>
      </c>
      <c r="M35" s="14" t="s">
        <v>23</v>
      </c>
      <c r="N35" s="16">
        <f ca="1">IF(ISNUMBER(INDIRECT("P" &amp; ROW())), INDIRECT("P" &amp; ROW())*0.4, " ")</f>
        <v>52</v>
      </c>
      <c r="O35" s="16">
        <f ca="1">IF(ISNUMBER(INDIRECT("P" &amp; ROW())), INDIRECT("P" &amp; ROW())*0.6, " ")</f>
        <v>78</v>
      </c>
      <c r="P35" s="16">
        <f ca="1">IF(INDIRECT("J" &amp; ROW())="текущие цены", 0, 130)</f>
        <v>130</v>
      </c>
      <c r="Q35" s="5"/>
      <c r="R35" s="5"/>
      <c r="S35" s="5"/>
      <c r="T35" s="5"/>
      <c r="U35" s="5"/>
    </row>
    <row r="36" spans="1:21" ht="60.75" customHeight="1" x14ac:dyDescent="0.2">
      <c r="A36" s="17">
        <v>6</v>
      </c>
      <c r="B36" s="18" t="s">
        <v>19</v>
      </c>
      <c r="C36" s="18" t="s">
        <v>24</v>
      </c>
      <c r="D36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5326 * 10 * 0,4*0,06*0,04</v>
      </c>
      <c r="E36" s="20">
        <f>IF( 5326 = "","0",5326)</f>
        <v>5326</v>
      </c>
      <c r="F36" s="20" t="str">
        <f ca="1">IF(INDIRECT("J" &amp; ROW())="текущие цены", IF(INDIRECT("G" &amp; ROW())="", "0", "0"), IF(INDIRECT("G" &amp; ROW())="", "0.01","10"))</f>
        <v>10</v>
      </c>
      <c r="G36" s="20" t="s">
        <v>31</v>
      </c>
      <c r="H36" s="20"/>
      <c r="I36" s="20"/>
      <c r="J36" s="20" t="s">
        <v>8</v>
      </c>
      <c r="K36" s="20" t="s">
        <v>32</v>
      </c>
      <c r="L36" s="20">
        <v>3</v>
      </c>
      <c r="M36" s="20" t="s">
        <v>25</v>
      </c>
      <c r="N36" s="22">
        <f ca="1">IF(ISNUMBER(INDIRECT("P" &amp; ROW())), INDIRECT("P" &amp; ROW())*0.4, " ")</f>
        <v>21.200000000000003</v>
      </c>
      <c r="O36" s="22">
        <f ca="1">IF(ISNUMBER(INDIRECT("P" &amp; ROW())), INDIRECT("P" &amp; ROW())*0.6, " ")</f>
        <v>31.799999999999997</v>
      </c>
      <c r="P36" s="22">
        <f ca="1">IF(INDIRECT("J" &amp; ROW())="текущие цены", 0, 53)</f>
        <v>53</v>
      </c>
      <c r="Q36" s="5"/>
      <c r="R36" s="5"/>
      <c r="S36" s="5"/>
      <c r="T36" s="5"/>
      <c r="U36" s="5"/>
    </row>
    <row r="37" spans="1:21" x14ac:dyDescent="0.2">
      <c r="A37" s="48" t="s">
        <v>13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16">
        <f t="shared" ref="N37:N40" ca="1" si="4">IF(ISNUMBER(INDIRECT("P" &amp; ROW())), INDIRECT("P" &amp; ROW()) * 0.4, " ")</f>
        <v>73.2</v>
      </c>
      <c r="O37" s="16">
        <f t="shared" ref="O37:O40" ca="1" si="5">IF(ISNUMBER(INDIRECT("P" &amp; ROW())), INDIRECT("P" &amp; ROW()) * 0.6, " ")</f>
        <v>109.8</v>
      </c>
      <c r="P37" s="16">
        <v>183</v>
      </c>
      <c r="Q37" s="5"/>
      <c r="R37" s="5"/>
      <c r="S37" s="5"/>
      <c r="T37" s="5"/>
      <c r="U37" s="5"/>
    </row>
    <row r="38" spans="1:21" x14ac:dyDescent="0.2">
      <c r="A38" s="57" t="s">
        <v>33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23" t="str">
        <f t="shared" ca="1" si="4"/>
        <v xml:space="preserve"> </v>
      </c>
      <c r="O38" s="23" t="str">
        <f t="shared" ca="1" si="5"/>
        <v xml:space="preserve"> </v>
      </c>
      <c r="P38" s="23"/>
      <c r="Q38" s="5"/>
      <c r="R38" s="5"/>
      <c r="S38" s="5"/>
      <c r="T38" s="5"/>
      <c r="U38" s="5"/>
    </row>
    <row r="39" spans="1:21" ht="21.75" customHeight="1" x14ac:dyDescent="0.2">
      <c r="A39" s="48" t="s">
        <v>28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16">
        <f t="shared" ca="1" si="4"/>
        <v>286.8</v>
      </c>
      <c r="O39" s="16">
        <f t="shared" ca="1" si="5"/>
        <v>430.2</v>
      </c>
      <c r="P39" s="16">
        <v>717</v>
      </c>
      <c r="Q39" s="5"/>
      <c r="R39" s="5"/>
      <c r="S39" s="5"/>
      <c r="T39" s="5"/>
      <c r="U39" s="5"/>
    </row>
    <row r="40" spans="1:21" x14ac:dyDescent="0.2">
      <c r="A40" s="53" t="s">
        <v>34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24">
        <f t="shared" ca="1" si="4"/>
        <v>286.8</v>
      </c>
      <c r="O40" s="24">
        <f t="shared" ca="1" si="5"/>
        <v>430.2</v>
      </c>
      <c r="P40" s="24">
        <v>717</v>
      </c>
      <c r="Q40" s="5"/>
      <c r="R40" s="5"/>
      <c r="S40" s="5"/>
      <c r="T40" s="5"/>
      <c r="U40" s="5"/>
    </row>
    <row r="41" spans="1:21" ht="21" customHeight="1" x14ac:dyDescent="0.2">
      <c r="A41" s="55" t="s">
        <v>35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"/>
      <c r="R41" s="5"/>
      <c r="S41" s="5"/>
      <c r="T41" s="5"/>
      <c r="U41" s="5"/>
    </row>
    <row r="42" spans="1:21" ht="60.75" customHeight="1" x14ac:dyDescent="0.2">
      <c r="A42" s="11">
        <v>7</v>
      </c>
      <c r="B42" s="12" t="s">
        <v>19</v>
      </c>
      <c r="C42" s="12" t="s">
        <v>20</v>
      </c>
      <c r="D42" s="13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0,4*0,06*0,05</v>
      </c>
      <c r="E42" s="14">
        <f>IF( 1 = "","0",1)</f>
        <v>1</v>
      </c>
      <c r="F42" s="14" t="str">
        <f ca="1">IF(INDIRECT("J" &amp; ROW())="текущие цены", IF(INDIRECT("G" &amp; ROW())="", "0", "0"), IF(INDIRECT("G" &amp; ROW())="", "162","135000"))</f>
        <v>135000</v>
      </c>
      <c r="G42" s="14" t="s">
        <v>36</v>
      </c>
      <c r="H42" s="14"/>
      <c r="I42" s="14"/>
      <c r="J42" s="14" t="s">
        <v>8</v>
      </c>
      <c r="K42" s="14" t="s">
        <v>37</v>
      </c>
      <c r="L42" s="14">
        <v>4</v>
      </c>
      <c r="M42" s="14" t="s">
        <v>23</v>
      </c>
      <c r="N42" s="16">
        <f ca="1">IF(ISNUMBER(INDIRECT("P" &amp; ROW())), INDIRECT("P" &amp; ROW())*0.4, " ")</f>
        <v>64.8</v>
      </c>
      <c r="O42" s="16">
        <f ca="1">IF(ISNUMBER(INDIRECT("P" &amp; ROW())), INDIRECT("P" &amp; ROW())*0.6, " ")</f>
        <v>97.2</v>
      </c>
      <c r="P42" s="16">
        <f ca="1">IF(INDIRECT("J" &amp; ROW())="текущие цены", 0, 162)</f>
        <v>162</v>
      </c>
      <c r="Q42" s="5"/>
      <c r="R42" s="5"/>
      <c r="S42" s="5"/>
      <c r="T42" s="5"/>
      <c r="U42" s="5"/>
    </row>
    <row r="43" spans="1:21" ht="60.75" customHeight="1" x14ac:dyDescent="0.2">
      <c r="A43" s="17">
        <v>8</v>
      </c>
      <c r="B43" s="18" t="s">
        <v>19</v>
      </c>
      <c r="C43" s="18" t="s">
        <v>24</v>
      </c>
      <c r="D43" s="19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5326 * 10 * 0,4*0,06*0,05</v>
      </c>
      <c r="E43" s="20">
        <f>IF( 5326 = "","0",5326)</f>
        <v>5326</v>
      </c>
      <c r="F43" s="20" t="str">
        <f ca="1">IF(INDIRECT("J" &amp; ROW())="текущие цены", IF(INDIRECT("G" &amp; ROW())="", "0", "0"), IF(INDIRECT("G" &amp; ROW())="", "0.01","10"))</f>
        <v>10</v>
      </c>
      <c r="G43" s="20" t="s">
        <v>36</v>
      </c>
      <c r="H43" s="20"/>
      <c r="I43" s="20"/>
      <c r="J43" s="20" t="s">
        <v>8</v>
      </c>
      <c r="K43" s="20" t="s">
        <v>37</v>
      </c>
      <c r="L43" s="20">
        <v>4</v>
      </c>
      <c r="M43" s="20" t="s">
        <v>25</v>
      </c>
      <c r="N43" s="22">
        <f ca="1">IF(ISNUMBER(INDIRECT("P" &amp; ROW())), INDIRECT("P" &amp; ROW())*0.4, " ")</f>
        <v>21.200000000000003</v>
      </c>
      <c r="O43" s="22">
        <f ca="1">IF(ISNUMBER(INDIRECT("P" &amp; ROW())), INDIRECT("P" &amp; ROW())*0.6, " ")</f>
        <v>31.799999999999997</v>
      </c>
      <c r="P43" s="22">
        <f ca="1">IF(INDIRECT("J" &amp; ROW())="текущие цены", 0, 53)</f>
        <v>53</v>
      </c>
      <c r="Q43" s="5"/>
      <c r="R43" s="5"/>
      <c r="S43" s="5"/>
      <c r="T43" s="5"/>
      <c r="U43" s="5"/>
    </row>
    <row r="44" spans="1:21" ht="13.5" customHeight="1" x14ac:dyDescent="0.2">
      <c r="A44" s="48" t="s">
        <v>13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16">
        <f t="shared" ref="N44:N54" ca="1" si="6">IF(ISNUMBER(INDIRECT("P" &amp; ROW())), INDIRECT("P" &amp; ROW()) * 0.4, " ")</f>
        <v>86</v>
      </c>
      <c r="O44" s="16">
        <f t="shared" ref="O44:O54" ca="1" si="7">IF(ISNUMBER(INDIRECT("P" &amp; ROW())), INDIRECT("P" &amp; ROW()) * 0.6, " ")</f>
        <v>129</v>
      </c>
      <c r="P44" s="16">
        <v>215</v>
      </c>
      <c r="Q44" s="5"/>
      <c r="R44" s="5"/>
      <c r="S44" s="5"/>
      <c r="T44" s="5"/>
      <c r="U44" s="5"/>
    </row>
    <row r="45" spans="1:21" ht="13.5" customHeight="1" x14ac:dyDescent="0.2">
      <c r="A45" s="57" t="s">
        <v>38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23" t="str">
        <f t="shared" ca="1" si="6"/>
        <v xml:space="preserve"> </v>
      </c>
      <c r="O45" s="23" t="str">
        <f t="shared" ca="1" si="7"/>
        <v xml:space="preserve"> </v>
      </c>
      <c r="P45" s="23"/>
      <c r="Q45" s="5"/>
      <c r="R45" s="5"/>
      <c r="S45" s="5"/>
      <c r="T45" s="5"/>
      <c r="U45" s="5"/>
    </row>
    <row r="46" spans="1:21" ht="13.5" customHeight="1" x14ac:dyDescent="0.2">
      <c r="A46" s="48" t="s">
        <v>28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16">
        <f t="shared" ca="1" si="6"/>
        <v>337.20000000000005</v>
      </c>
      <c r="O46" s="16">
        <f t="shared" ca="1" si="7"/>
        <v>505.79999999999995</v>
      </c>
      <c r="P46" s="16">
        <v>843</v>
      </c>
      <c r="Q46" s="5"/>
      <c r="R46" s="5"/>
      <c r="S46" s="5"/>
      <c r="T46" s="5"/>
      <c r="U46" s="5"/>
    </row>
    <row r="47" spans="1:21" ht="13.5" customHeight="1" x14ac:dyDescent="0.2">
      <c r="A47" s="53" t="s">
        <v>39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24">
        <f t="shared" ca="1" si="6"/>
        <v>337.20000000000005</v>
      </c>
      <c r="O47" s="24">
        <f t="shared" ca="1" si="7"/>
        <v>505.79999999999995</v>
      </c>
      <c r="P47" s="24">
        <v>843</v>
      </c>
      <c r="Q47" s="5"/>
      <c r="R47" s="5"/>
      <c r="S47" s="5"/>
      <c r="T47" s="5"/>
      <c r="U47" s="5"/>
    </row>
    <row r="48" spans="1:21" ht="13.5" customHeight="1" x14ac:dyDescent="0.2">
      <c r="A48" s="50" t="s">
        <v>40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25">
        <f t="shared" ca="1" si="6"/>
        <v>2051.6</v>
      </c>
      <c r="O48" s="25">
        <f t="shared" ca="1" si="7"/>
        <v>3077.4</v>
      </c>
      <c r="P48" s="25">
        <v>5129</v>
      </c>
      <c r="Q48" s="5"/>
      <c r="R48" s="5"/>
      <c r="S48" s="5"/>
      <c r="T48" s="5"/>
      <c r="U48" s="5"/>
    </row>
    <row r="49" spans="1:23" ht="13.5" customHeight="1" x14ac:dyDescent="0.2">
      <c r="A49" s="51" t="s">
        <v>41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26" t="str">
        <f t="shared" ca="1" si="6"/>
        <v xml:space="preserve"> </v>
      </c>
      <c r="O49" s="26" t="str">
        <f t="shared" ca="1" si="7"/>
        <v xml:space="preserve"> </v>
      </c>
      <c r="P49" s="26"/>
      <c r="Q49" s="5"/>
      <c r="R49" s="5"/>
      <c r="S49" s="5"/>
      <c r="T49" s="5"/>
      <c r="U49" s="5"/>
    </row>
    <row r="50" spans="1:23" ht="13.5" customHeight="1" x14ac:dyDescent="0.2">
      <c r="A50" s="50" t="s">
        <v>45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25">
        <f t="shared" ca="1" si="6"/>
        <v>334.8</v>
      </c>
      <c r="O50" s="25">
        <f t="shared" ca="1" si="7"/>
        <v>502.2</v>
      </c>
      <c r="P50" s="25">
        <v>837</v>
      </c>
      <c r="Q50" s="5"/>
      <c r="R50" s="5"/>
      <c r="S50" s="5"/>
      <c r="T50" s="5"/>
      <c r="U50" s="5"/>
    </row>
    <row r="51" spans="1:23" ht="13.5" customHeight="1" x14ac:dyDescent="0.2">
      <c r="A51" s="50" t="s">
        <v>50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25">
        <f t="shared" ca="1" si="6"/>
        <v>7708.4000000000005</v>
      </c>
      <c r="O51" s="25">
        <f t="shared" ca="1" si="7"/>
        <v>11562.6</v>
      </c>
      <c r="P51" s="25">
        <v>19271</v>
      </c>
      <c r="Q51" s="5"/>
      <c r="R51" s="5"/>
      <c r="S51" s="5"/>
      <c r="T51" s="5"/>
      <c r="U51" s="5"/>
    </row>
    <row r="52" spans="1:23" ht="13.5" customHeight="1" x14ac:dyDescent="0.2">
      <c r="A52" s="50" t="s">
        <v>15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25">
        <f t="shared" ca="1" si="6"/>
        <v>8043.2000000000007</v>
      </c>
      <c r="O52" s="25">
        <f t="shared" ca="1" si="7"/>
        <v>12064.8</v>
      </c>
      <c r="P52" s="25">
        <v>20108</v>
      </c>
      <c r="Q52" s="5"/>
      <c r="R52" s="5"/>
      <c r="S52" s="5"/>
      <c r="T52" s="5"/>
      <c r="U52" s="5"/>
    </row>
    <row r="53" spans="1:23" ht="13.5" customHeight="1" x14ac:dyDescent="0.2">
      <c r="A53" s="50" t="s">
        <v>42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25">
        <f t="shared" ca="1" si="6"/>
        <v>1447.7760000000001</v>
      </c>
      <c r="O53" s="25">
        <f t="shared" ca="1" si="7"/>
        <v>2171.6639999999998</v>
      </c>
      <c r="P53" s="25">
        <v>3619.44</v>
      </c>
      <c r="Q53" s="5"/>
      <c r="R53" s="5"/>
      <c r="S53" s="5"/>
      <c r="T53" s="5"/>
      <c r="U53" s="5"/>
    </row>
    <row r="54" spans="1:23" ht="13.5" customHeight="1" x14ac:dyDescent="0.2">
      <c r="A54" s="51" t="s">
        <v>43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26">
        <f t="shared" ca="1" si="6"/>
        <v>9490.9760000000006</v>
      </c>
      <c r="O54" s="26">
        <f t="shared" ca="1" si="7"/>
        <v>14236.463999999998</v>
      </c>
      <c r="P54" s="26">
        <v>23727.439999999999</v>
      </c>
      <c r="Q54" s="5"/>
      <c r="R54" s="5"/>
      <c r="S54" s="5"/>
      <c r="T54" s="5"/>
      <c r="U54" s="5"/>
    </row>
    <row r="55" spans="1:23" ht="6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6"/>
      <c r="R55" s="6"/>
      <c r="S55" s="6"/>
      <c r="T55" s="6"/>
      <c r="U55" s="6"/>
    </row>
    <row r="56" spans="1:23" s="29" customFormat="1" ht="16.5" customHeight="1" x14ac:dyDescent="0.2">
      <c r="A56" s="75" t="s">
        <v>61</v>
      </c>
      <c r="B56" s="76"/>
      <c r="C56" s="76"/>
      <c r="D56" s="76"/>
      <c r="E56" s="76"/>
      <c r="F56" s="76"/>
      <c r="G56" s="76"/>
      <c r="H56" s="76"/>
      <c r="I56" s="77"/>
      <c r="J56" s="77"/>
      <c r="K56" s="77"/>
      <c r="L56" s="77"/>
      <c r="M56" s="77"/>
      <c r="N56" s="77"/>
      <c r="O56" s="77"/>
      <c r="P56" s="77"/>
      <c r="Q56" s="77"/>
    </row>
    <row r="57" spans="1:23" s="29" customFormat="1" ht="9" customHeight="1" x14ac:dyDescent="0.2">
      <c r="A57" s="78" t="s">
        <v>52</v>
      </c>
      <c r="B57" s="79"/>
      <c r="C57" s="79"/>
      <c r="D57" s="79"/>
      <c r="E57" s="79"/>
      <c r="F57" s="79"/>
      <c r="G57" s="79"/>
      <c r="H57" s="79"/>
      <c r="Q57" s="30"/>
    </row>
    <row r="58" spans="1:23" s="29" customFormat="1" ht="14.25" customHeight="1" x14ac:dyDescent="0.2">
      <c r="A58" s="75" t="s">
        <v>62</v>
      </c>
      <c r="B58" s="75"/>
      <c r="C58" s="75"/>
      <c r="D58" s="75"/>
      <c r="E58" s="75"/>
      <c r="F58" s="75"/>
      <c r="G58" s="75"/>
      <c r="H58" s="75"/>
      <c r="I58" s="77"/>
      <c r="J58" s="77"/>
      <c r="K58" s="77"/>
      <c r="L58" s="77"/>
      <c r="M58" s="77"/>
      <c r="N58" s="77"/>
      <c r="O58" s="77"/>
      <c r="P58" s="77"/>
      <c r="Q58" s="77"/>
    </row>
    <row r="59" spans="1:23" s="29" customFormat="1" ht="9.75" customHeight="1" x14ac:dyDescent="0.2">
      <c r="A59" s="78" t="s">
        <v>52</v>
      </c>
      <c r="B59" s="79"/>
      <c r="C59" s="79"/>
      <c r="D59" s="79"/>
      <c r="E59" s="79"/>
      <c r="F59" s="79"/>
      <c r="G59" s="79"/>
      <c r="H59" s="79"/>
      <c r="W59" s="30"/>
    </row>
    <row r="60" spans="1:23" x14ac:dyDescent="0.2">
      <c r="B60" s="2"/>
      <c r="C60" s="7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2" spans="1:23" x14ac:dyDescent="0.2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</row>
  </sheetData>
  <mergeCells count="54">
    <mergeCell ref="A3:C3"/>
    <mergeCell ref="A4:C4"/>
    <mergeCell ref="A10:M10"/>
    <mergeCell ref="E3:P3"/>
    <mergeCell ref="E4:J4"/>
    <mergeCell ref="K4:P4"/>
    <mergeCell ref="E5:K5"/>
    <mergeCell ref="E7:K7"/>
    <mergeCell ref="A62:P62"/>
    <mergeCell ref="E16:E17"/>
    <mergeCell ref="N16:P17"/>
    <mergeCell ref="M16:M17"/>
    <mergeCell ref="A56:Q56"/>
    <mergeCell ref="A57:H57"/>
    <mergeCell ref="A58:Q58"/>
    <mergeCell ref="A59:H59"/>
    <mergeCell ref="A29:M29"/>
    <mergeCell ref="A30:M30"/>
    <mergeCell ref="A31:M31"/>
    <mergeCell ref="A32:M32"/>
    <mergeCell ref="A33:M33"/>
    <mergeCell ref="A34:P34"/>
    <mergeCell ref="A37:M37"/>
    <mergeCell ref="A38:M38"/>
    <mergeCell ref="A2:B2"/>
    <mergeCell ref="H2:Q2"/>
    <mergeCell ref="A26:P26"/>
    <mergeCell ref="A16:A17"/>
    <mergeCell ref="B16:B17"/>
    <mergeCell ref="A19:P19"/>
    <mergeCell ref="A22:M22"/>
    <mergeCell ref="A23:M23"/>
    <mergeCell ref="C16:C17"/>
    <mergeCell ref="D16:D17"/>
    <mergeCell ref="A24:M24"/>
    <mergeCell ref="A25:M25"/>
    <mergeCell ref="A11:B11"/>
    <mergeCell ref="A12:B12"/>
    <mergeCell ref="A14:D14"/>
    <mergeCell ref="A15:D15"/>
    <mergeCell ref="A39:M39"/>
    <mergeCell ref="A40:M40"/>
    <mergeCell ref="A41:P41"/>
    <mergeCell ref="A44:M44"/>
    <mergeCell ref="A45:M45"/>
    <mergeCell ref="A46:M46"/>
    <mergeCell ref="A53:M53"/>
    <mergeCell ref="A54:M54"/>
    <mergeCell ref="A47:M47"/>
    <mergeCell ref="A48:M48"/>
    <mergeCell ref="A49:M49"/>
    <mergeCell ref="A50:M50"/>
    <mergeCell ref="A51:M51"/>
    <mergeCell ref="A52:M5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16</xdr:row>
                    <xdr:rowOff>895350</xdr:rowOff>
                  </from>
                  <to>
                    <xdr:col>1</xdr:col>
                    <xdr:colOff>1152525</xdr:colOff>
                    <xdr:row>16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2017-02-20T00:44:25Z</cp:lastPrinted>
  <dcterms:created xsi:type="dcterms:W3CDTF">2007-02-21T08:42:24Z</dcterms:created>
  <dcterms:modified xsi:type="dcterms:W3CDTF">2017-02-20T00:44:28Z</dcterms:modified>
</cp:coreProperties>
</file>