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5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externalReferences>
    <externalReference r:id="rId3"/>
  </externalReferences>
  <definedNames>
    <definedName name="_xlnm.Print_Titles" localSheetId="0">'Мои данные'!$17:$17</definedName>
    <definedName name="_xlnm.Print_Area" localSheetId="0">'Мои данные'!$A$1:$Q$65</definedName>
  </definedNames>
  <calcPr calcId="152511"/>
</workbook>
</file>

<file path=xl/calcChain.xml><?xml version="1.0" encoding="utf-8"?>
<calcChain xmlns="http://schemas.openxmlformats.org/spreadsheetml/2006/main">
  <c r="F46" i="1" l="1"/>
  <c r="F47" i="1"/>
  <c r="F39" i="1"/>
  <c r="F40" i="1"/>
  <c r="F32" i="1"/>
  <c r="F33" i="1"/>
  <c r="F25" i="1"/>
  <c r="F19" i="1"/>
  <c r="A12" i="2"/>
  <c r="Q25" i="1"/>
  <c r="Q47" i="1"/>
  <c r="Q19" i="1"/>
  <c r="Q32" i="1"/>
  <c r="Q40" i="1"/>
  <c r="Q39" i="1"/>
  <c r="Q33" i="1"/>
  <c r="Q46" i="1"/>
  <c r="O36" i="1"/>
  <c r="P36" i="1"/>
  <c r="P40" i="1"/>
  <c r="O40" i="1"/>
  <c r="P58" i="1"/>
  <c r="O58" i="1"/>
  <c r="P30" i="1"/>
  <c r="O30" i="1"/>
  <c r="P47" i="1"/>
  <c r="O47" i="1"/>
  <c r="O27" i="1"/>
  <c r="P27" i="1"/>
  <c r="P20" i="1"/>
  <c r="O20" i="1"/>
  <c r="O57" i="1"/>
  <c r="P57" i="1"/>
  <c r="O19" i="1"/>
  <c r="P19" i="1"/>
  <c r="P28" i="1"/>
  <c r="O28" i="1"/>
  <c r="D33" i="1"/>
  <c r="G33" i="1"/>
  <c r="O55" i="1"/>
  <c r="P55" i="1"/>
  <c r="O29" i="1"/>
  <c r="P29" i="1"/>
  <c r="O25" i="1"/>
  <c r="P25" i="1"/>
  <c r="O51" i="1"/>
  <c r="P51" i="1"/>
  <c r="G47" i="1"/>
  <c r="D47" i="1"/>
  <c r="D39" i="1"/>
  <c r="G39" i="1"/>
  <c r="O41" i="1"/>
  <c r="P41" i="1"/>
  <c r="D46" i="1"/>
  <c r="G46" i="1"/>
  <c r="O37" i="1"/>
  <c r="P37" i="1"/>
  <c r="P21" i="1"/>
  <c r="O21" i="1"/>
  <c r="G32" i="1"/>
  <c r="D32" i="1"/>
  <c r="O33" i="1"/>
  <c r="P33" i="1"/>
  <c r="P56" i="1"/>
  <c r="O56" i="1"/>
  <c r="D19" i="1"/>
  <c r="G19" i="1"/>
  <c r="P43" i="1"/>
  <c r="O43" i="1"/>
  <c r="O32" i="1"/>
  <c r="P32" i="1"/>
  <c r="P49" i="1"/>
  <c r="O49" i="1"/>
  <c r="O44" i="1"/>
  <c r="P44" i="1"/>
  <c r="O48" i="1"/>
  <c r="P48" i="1"/>
  <c r="D25" i="1"/>
  <c r="G25" i="1"/>
  <c r="P22" i="1"/>
  <c r="O22" i="1"/>
  <c r="O34" i="1"/>
  <c r="P34" i="1"/>
  <c r="P50" i="1"/>
  <c r="O50" i="1"/>
  <c r="O23" i="1"/>
  <c r="P23" i="1"/>
  <c r="O54" i="1"/>
  <c r="P54" i="1"/>
  <c r="P42" i="1"/>
  <c r="O42" i="1"/>
  <c r="G40" i="1"/>
  <c r="D40" i="1"/>
  <c r="O53" i="1"/>
  <c r="P53" i="1"/>
  <c r="O46" i="1"/>
  <c r="P46" i="1"/>
  <c r="P39" i="1"/>
  <c r="O39" i="1"/>
  <c r="O52" i="1"/>
  <c r="P52" i="1"/>
  <c r="P26" i="1"/>
  <c r="O26" i="1"/>
  <c r="O35" i="1"/>
  <c r="P35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  <author>YuKazaeva</author>
  </authors>
  <commentList>
    <comment ref="A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</t>
        </r>
      </text>
    </comment>
    <comment ref="A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A14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7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F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G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H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I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J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K17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L17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M17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N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O17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P17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Q17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5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O5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P52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Q5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C64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6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<sst xmlns="http://schemas.openxmlformats.org/spreadsheetml/2006/main" count="108" uniqueCount="72">
  <si>
    <t>№ пп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</si>
  <si>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</si>
  <si>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</si>
  <si>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цена, руб.</t>
  </si>
  <si>
    <t>по проектной документации</t>
  </si>
  <si>
    <t>Стоимость работ, руб.</t>
  </si>
  <si>
    <t>Раздел 1. Обмерные работы</t>
  </si>
  <si>
    <t>Обмерные работы для многоэтажных зданий I категории сложности, категория сложности работ 2, высота здания до 12 м</t>
  </si>
  <si>
    <t>СБЦ99-2-1-2-7
"Обмерные работы и обследования зданий (1998г.)"</t>
  </si>
  <si>
    <t>1,1*0,75*0,1177</t>
  </si>
  <si>
    <t>8657 / 100</t>
  </si>
  <si>
    <t>цены 2001</t>
  </si>
  <si>
    <t>(11 Сейсмичность 7 баллов ПЗ=1,1;
2.11 При выполнении работ с использованием и сверкой имеющихся чертежей и выдачей скорректированных чертежей заказчику ПЗ=0,75;
10,59%-крыши, (табл.8 п. 12), 1,18% - планы кровли со вскрытиями табл.8 п.13 ПЗ=0,1177)</t>
  </si>
  <si>
    <t>100 м3 строительного объема здания</t>
  </si>
  <si>
    <t>Итого прямые затраты по разделу в ценах 2001г.</t>
  </si>
  <si>
    <t>Итоги по разделу 1 Обмерные работы :</t>
  </si>
  <si>
    <t xml:space="preserve">  Проектные работы: Обмерные работы и обследования зданий (1998)</t>
  </si>
  <si>
    <t xml:space="preserve">  Итого</t>
  </si>
  <si>
    <t xml:space="preserve">  Итого по разделу 1 Обмерные работы</t>
  </si>
  <si>
    <t>Раздел 2. Инженерные обследования</t>
  </si>
  <si>
    <t>Инженерные обследования строительных конструкций многоэтажных зданий I категории сложности, категория сложности работ 2, высота здания до 12 м</t>
  </si>
  <si>
    <t>СБЦ99-4-1-2-7
"Обмерные работы и обследования зданий (1998г.)"</t>
  </si>
  <si>
    <t>1,1*0,034*0,75</t>
  </si>
  <si>
    <t>(11 Сейсмичность 7 баллов ПЗ=1,1;
, 3,40%- кровля таблица 9 п.10 ПЗ=0,034;
2.11 При выполнении работ с использованием и сверкой имеющихся чертежей и выдачей скорректированных чертежей заказчику ПЗ=0,75)</t>
  </si>
  <si>
    <t>Итоги по разделу 2 Инженерные обследования :</t>
  </si>
  <si>
    <t xml:space="preserve">  Итого по разделу 2 Инженерные обследования</t>
  </si>
  <si>
    <t>Раздел 3. Проектные работы</t>
  </si>
  <si>
    <t>Жилые дома: четырехэтажные</t>
  </si>
  <si>
    <t>СБЦП05-1-1-4-А
/Таблица: СБЦП05-1-1-4 параметр: А/ "Кап. ремонт зданий и сооружений жилищно-гражд. назн. (2012 г.)"</t>
  </si>
  <si>
    <t>1,1*0,072*0,3</t>
  </si>
  <si>
    <t>(Таб.11 п.4 Сейсмичность 7 баллов ПЗ=1,1;
Таб.12 п.6, п.7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    2) Ремонт (замена) кровли и ограждающих конструкций-2,1% ПЗ=0,072;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ПЗ=0,3)</t>
  </si>
  <si>
    <t>объект</t>
  </si>
  <si>
    <t>СБЦП05-1-1-4-Б
/Таблица: СБЦП05-1-1-4 параметр: Б/ "Кап. ремонт зданий и сооружений жилищно-гражд. назн. (2012 г.)"</t>
  </si>
  <si>
    <t>м3</t>
  </si>
  <si>
    <t>Итоги по разделу 3 Проектные работы :</t>
  </si>
  <si>
    <t xml:space="preserve">  Всего с учетом "Проектные работы (приложение 3 к письму Минстроя России от 03.06.2016 №17269-ХМ/09) СМР=3,92"</t>
  </si>
  <si>
    <t xml:space="preserve">  Итого по разделу 3 Проектные работы</t>
  </si>
  <si>
    <t>Раздел 4. ПОС</t>
  </si>
  <si>
    <t>1,1*0,072*0,04*0,3</t>
  </si>
  <si>
    <t>(Таб.11 п.4 Сейсмичность 7 баллов ПЗ=1,1;
Таб.12 п.6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    2) Ремонт (замена) кровли и ограждающих конструкций-2,1%           2). Ремонт, усиление, частичная замена перекрытий и покрытий-18,3%)                                    3) Ремонт (замена) кровли и ограждающих конструкций-2,1% ПЗ=0,072;
Таб.12 п.18 Проект организации строительства (ПОС): здания каркасные многоэтажные - 4,0% ПЗ=0,04;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ПЗ=0,3)</t>
  </si>
  <si>
    <t>Итоги по разделу 4 ПОС :</t>
  </si>
  <si>
    <t xml:space="preserve">  Итого по разделу 4 ПОС</t>
  </si>
  <si>
    <t>Раздел 5. Сметная документация</t>
  </si>
  <si>
    <t>1,1*0,072*0,05*0,3</t>
  </si>
  <si>
    <t>(Таб.11 п.4 Сейсмичность 7 баллов ПЗ=1,1;
Таб.12 п.6 1)Ремонт, усиление, частичная замена конструкций крыши (при совмещении на объекте покрытия с крышей, проценты в столбцах 3, 4, 5, 6 добавляются к работам пункта 5 настоящей таблицы): здания бескаркасные многоэтажные - 5,1%           2) Ремонт (замена) кровли и ограждающих конструкций-2,1% ПЗ=0,072;
Таб.12 п.19 Сметная документация: здания бескаркасные многоэтажные - 5,0% ПЗ=0,05;
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ПЗ=0,3)</t>
  </si>
  <si>
    <t>Итоги по разделу 5 Сметная документация :</t>
  </si>
  <si>
    <t xml:space="preserve">  Итого по разделу 5 Сметная документация</t>
  </si>
  <si>
    <t>Итого прямые затраты по смете в ценах 2001г.</t>
  </si>
  <si>
    <t>Итоги по смете:</t>
  </si>
  <si>
    <t xml:space="preserve">  Итого Поз. 3-8 "Проектные работы (приложение 3 к письму Минстроя России от 03.06.2016 №17269-ХМ/09) СМР=3,92"</t>
  </si>
  <si>
    <t xml:space="preserve">  НДС 18%</t>
  </si>
  <si>
    <t xml:space="preserve">  ВСЕГО по смете</t>
  </si>
  <si>
    <t>Объем</t>
  </si>
  <si>
    <t>Обоснование</t>
  </si>
  <si>
    <t>Ед.изм.</t>
  </si>
  <si>
    <t>(должность, подпись, расшифровка)</t>
  </si>
  <si>
    <t>СМЕТА №</t>
  </si>
  <si>
    <t>Наименование организации заказчика      НО "Хабаровский краевой фонд капитального ремонта"</t>
  </si>
  <si>
    <t>Здание жилое                     4 этажа    3 подъезда</t>
  </si>
  <si>
    <t>на проектные работы</t>
  </si>
  <si>
    <t xml:space="preserve">                                                                                                                                        </t>
  </si>
  <si>
    <t>Год постройки                   1965</t>
  </si>
  <si>
    <t>Объем здания, м3              8657</t>
  </si>
  <si>
    <t>Наименование  объекта    4-х  этажный жилой дом по адресу:  Хабаровский край, р-он Хабаровский, с.Ракитное, ул.Центральная, д.31</t>
  </si>
  <si>
    <t xml:space="preserve">Составил: главный специалист СО НО "Хабаровский краевой фонд капитального ремонта" _____________________/Н.Г.Линькова   </t>
  </si>
  <si>
    <t xml:space="preserve">                                           Проверил : Начальник СО НО "Хабаровский краевой фонд капитального ремонта"____________________/ _____________Е.С. Сорокина</t>
  </si>
  <si>
    <t>УТВЕРЖДАЮ:</t>
  </si>
  <si>
    <t>Директор НО "Хабаровский краевой фонд капитального ремонта"</t>
  </si>
  <si>
    <t>_________________________________А.В.Сидорова</t>
  </si>
  <si>
    <t xml:space="preserve">  Всего с учетом "Обмерные и инженерное обследование (приложение 3 к письму Минстроя России от 03.06.2016 №17269-ХМ/09) СМР=30,17"</t>
  </si>
  <si>
    <t xml:space="preserve">  Итого Поз. 1-2 "Обмерные и инженерное обследование (приложение 3 к письму Минстроя России от 03.06.2016 №17269-ХМ/09) СМР=30,17"</t>
  </si>
  <si>
    <t xml:space="preserve">Вид проектных или изыскательских работ:   На разработку проектной документации на капитальный ремонт крыши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</si>
</sst>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8"/>
      <color rgb="FF000000"/>
      <name val="Arial Cyr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3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7" fillId="0" borderId="0" xfId="22" applyFont="1">
      <alignment horizontal="left" vertical="top"/>
    </xf>
    <xf numFmtId="0" fontId="6" fillId="0" borderId="0" xfId="0" applyFont="1" applyAlignment="1">
      <alignment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3" xfId="12" applyFont="1" applyBorder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10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10" fontId="7" fillId="0" borderId="3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7" fillId="0" borderId="1" xfId="5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0" fontId="14" fillId="0" borderId="3" xfId="0" applyNumberFormat="1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wrapText="1"/>
    </xf>
    <xf numFmtId="0" fontId="5" fillId="0" borderId="0" xfId="0" applyFont="1"/>
    <xf numFmtId="0" fontId="17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17" fillId="0" borderId="0" xfId="0" applyFont="1" applyAlignment="1">
      <alignment horizontal="center"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1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2" fontId="10" fillId="0" borderId="0" xfId="0" applyNumberFormat="1" applyFont="1"/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4" fillId="0" borderId="3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8" fillId="0" borderId="1" xfId="5" applyFont="1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7" fillId="0" borderId="1" xfId="5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wrapText="1"/>
    </xf>
    <xf numFmtId="0" fontId="7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0" xfId="21" applyFont="1" applyBorder="1" applyAlignment="1">
      <alignment horizontal="left" vertical="top" wrapText="1"/>
    </xf>
    <xf numFmtId="0" fontId="1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6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17" fillId="0" borderId="0" xfId="0" applyFont="1" applyAlignment="1">
      <alignment vertical="top" wrapText="1"/>
    </xf>
    <xf numFmtId="0" fontId="10" fillId="0" borderId="0" xfId="0" applyFont="1" applyAlignment="1">
      <alignment wrapText="1"/>
    </xf>
    <xf numFmtId="0" fontId="5" fillId="0" borderId="0" xfId="0" applyFont="1" applyBorder="1" applyAlignment="1"/>
    <xf numFmtId="0" fontId="5" fillId="0" borderId="0" xfId="0" applyFont="1" applyAlignment="1">
      <alignment vertical="top" wrapText="1"/>
    </xf>
    <xf numFmtId="0" fontId="0" fillId="0" borderId="0" xfId="0" applyAlignment="1"/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13</xdr:row>
          <xdr:rowOff>895350</xdr:rowOff>
        </xdr:from>
        <xdr:to>
          <xdr:col>1</xdr:col>
          <xdr:colOff>1152525</xdr:colOff>
          <xdr:row>13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15</xdr:row>
          <xdr:rowOff>895350</xdr:rowOff>
        </xdr:from>
        <xdr:to>
          <xdr:col>1</xdr:col>
          <xdr:colOff>1152525</xdr:colOff>
          <xdr:row>15</xdr:row>
          <xdr:rowOff>1085850</xdr:rowOff>
        </xdr:to>
        <xdr:sp macro="" textlink="">
          <xdr:nvSpPr>
            <xdr:cNvPr id="1084" name="Button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15</xdr:row>
          <xdr:rowOff>895350</xdr:rowOff>
        </xdr:from>
        <xdr:to>
          <xdr:col>1</xdr:col>
          <xdr:colOff>1152525</xdr:colOff>
          <xdr:row>15</xdr:row>
          <xdr:rowOff>1085850</xdr:rowOff>
        </xdr:to>
        <xdr:sp macro="" textlink="">
          <xdr:nvSpPr>
            <xdr:cNvPr id="1085" name="Button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nkova_ng/Desktop/&#1057;&#1052;&#1045;&#1058;&#1067;%20&#1055;&#1057;&#1044;/&#1055;&#1057;&#1044;%20&#1043;&#1072;&#1088;&#1086;&#1074;&#1082;&#1072;%20&#1052;&#1086;&#1088;&#1089;&#1082;&#1072;&#1103;%201%20(&#1082;&#1088;&#1099;&#1096;&#107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  <sheetName val="Вспомогательный"/>
      <sheetName val="ПСД Гаровка Морская 1 (крыша)"/>
    </sheetNames>
    <definedNames>
      <definedName name="Лист1.CollapseRows"/>
    </definedNames>
    <sheetDataSet>
      <sheetData sheetId="0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B66"/>
  <sheetViews>
    <sheetView showGridLines="0" tabSelected="1" topLeftCell="A7" zoomScale="120" zoomScaleNormal="120" workbookViewId="0">
      <selection activeCell="A14" sqref="A14:H14"/>
    </sheetView>
  </sheetViews>
  <sheetFormatPr defaultRowHeight="12.75" x14ac:dyDescent="0.2"/>
  <cols>
    <col min="1" max="1" width="5.7109375" style="1" customWidth="1"/>
    <col min="2" max="3" width="29.42578125" style="1" customWidth="1"/>
    <col min="4" max="4" width="16.85546875" style="1" customWidth="1"/>
    <col min="5" max="5" width="10.5703125" style="1" customWidth="1"/>
    <col min="6" max="6" width="18" style="1" customWidth="1"/>
    <col min="7" max="7" width="0.28515625" style="1" customWidth="1"/>
    <col min="8" max="11" width="22.140625" style="1" hidden="1" customWidth="1"/>
    <col min="12" max="12" width="73.5703125" style="1" customWidth="1"/>
    <col min="13" max="13" width="15" style="1" hidden="1" customWidth="1"/>
    <col min="14" max="14" width="11" style="1" hidden="1" customWidth="1"/>
    <col min="15" max="16" width="10.85546875" style="1" hidden="1" customWidth="1"/>
    <col min="17" max="17" width="13.140625" style="1" customWidth="1"/>
    <col min="18" max="18" width="9.140625" style="1" customWidth="1"/>
    <col min="19" max="26" width="9.140625" style="1"/>
    <col min="27" max="27" width="79.28515625" style="7" customWidth="1"/>
    <col min="28" max="16384" width="9.140625" style="1"/>
  </cols>
  <sheetData>
    <row r="1" spans="1:28" s="27" customFormat="1" ht="12.75" customHeight="1" x14ac:dyDescent="0.2">
      <c r="A1" s="57"/>
      <c r="B1" s="58"/>
      <c r="C1" s="58"/>
      <c r="D1"/>
      <c r="E1"/>
      <c r="G1"/>
      <c r="H1" s="30"/>
      <c r="I1" s="71"/>
      <c r="J1" s="58"/>
      <c r="K1" s="58"/>
      <c r="L1" s="58"/>
      <c r="M1" s="58"/>
      <c r="N1" s="58"/>
    </row>
    <row r="2" spans="1:28" s="27" customFormat="1" ht="16.5" customHeight="1" x14ac:dyDescent="0.2">
      <c r="A2" s="57"/>
      <c r="B2" s="58"/>
      <c r="C2" s="58"/>
      <c r="D2"/>
      <c r="E2"/>
      <c r="G2"/>
      <c r="H2" s="31"/>
      <c r="I2" s="66"/>
      <c r="J2" s="58"/>
      <c r="K2" s="58"/>
      <c r="L2" s="58"/>
      <c r="M2" s="58"/>
      <c r="N2" s="58"/>
      <c r="O2" s="58"/>
    </row>
    <row r="3" spans="1:28" s="27" customFormat="1" ht="18" customHeight="1" x14ac:dyDescent="0.2">
      <c r="A3" s="32"/>
      <c r="B3" s="29"/>
      <c r="C3" s="29"/>
      <c r="D3" s="30"/>
      <c r="E3" s="30"/>
      <c r="G3"/>
      <c r="H3" s="31"/>
      <c r="I3" s="29"/>
      <c r="J3" s="29"/>
      <c r="L3" s="68" t="s">
        <v>66</v>
      </c>
      <c r="M3" s="69"/>
      <c r="N3" s="69"/>
      <c r="O3" s="69"/>
      <c r="P3" s="69"/>
      <c r="Q3" s="69"/>
    </row>
    <row r="4" spans="1:28" s="27" customFormat="1" ht="18" customHeight="1" x14ac:dyDescent="0.2">
      <c r="A4" s="32"/>
      <c r="B4" s="29"/>
      <c r="C4" s="29"/>
      <c r="D4" s="30"/>
      <c r="E4" s="30"/>
      <c r="G4"/>
      <c r="H4" s="31"/>
      <c r="I4" s="29"/>
      <c r="J4" s="29"/>
      <c r="L4" s="66" t="s">
        <v>67</v>
      </c>
      <c r="M4" s="58"/>
      <c r="N4" s="58"/>
      <c r="O4" s="58"/>
      <c r="P4" s="58"/>
      <c r="Q4" s="58"/>
      <c r="R4" s="58"/>
    </row>
    <row r="5" spans="1:28" s="27" customFormat="1" x14ac:dyDescent="0.2">
      <c r="A5" s="32"/>
      <c r="B5" s="29"/>
      <c r="C5" s="29"/>
      <c r="D5" s="31"/>
      <c r="E5" s="31"/>
      <c r="G5" s="29"/>
      <c r="H5" s="29"/>
      <c r="I5" s="29"/>
      <c r="J5" s="29"/>
    </row>
    <row r="6" spans="1:28" s="27" customFormat="1" x14ac:dyDescent="0.2">
      <c r="A6" s="32"/>
      <c r="B6" s="29"/>
      <c r="C6" s="29"/>
      <c r="D6" s="31"/>
      <c r="E6" s="31"/>
      <c r="G6" s="29"/>
      <c r="H6" s="29"/>
      <c r="I6" s="29"/>
      <c r="J6" s="29"/>
      <c r="L6" s="70" t="s">
        <v>68</v>
      </c>
      <c r="M6" s="70"/>
      <c r="N6" s="70"/>
      <c r="O6" s="70"/>
      <c r="P6" s="70"/>
      <c r="Q6" s="70"/>
      <c r="R6" s="70"/>
    </row>
    <row r="7" spans="1:28" s="27" customFormat="1" ht="12.75" customHeight="1" x14ac:dyDescent="0.2">
      <c r="A7" s="32"/>
      <c r="B7" s="29"/>
      <c r="C7" s="29"/>
      <c r="D7" s="33" t="s">
        <v>56</v>
      </c>
      <c r="E7" s="33"/>
      <c r="G7" s="29"/>
      <c r="H7" s="29"/>
      <c r="I7" s="29"/>
      <c r="J7" s="29"/>
      <c r="L7" s="70"/>
      <c r="M7" s="70"/>
      <c r="N7" s="70"/>
      <c r="O7" s="70"/>
      <c r="P7" s="70"/>
      <c r="Q7" s="70"/>
      <c r="R7" s="70"/>
    </row>
    <row r="8" spans="1:28" s="27" customFormat="1" x14ac:dyDescent="0.2">
      <c r="A8" s="10" t="s">
        <v>60</v>
      </c>
      <c r="B8" s="10"/>
      <c r="C8" s="10"/>
      <c r="D8" s="10" t="s">
        <v>59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AB8" s="28"/>
    </row>
    <row r="9" spans="1:28" s="27" customFormat="1" x14ac:dyDescent="0.2">
      <c r="A9" s="57" t="s">
        <v>63</v>
      </c>
      <c r="B9" s="57"/>
      <c r="C9" s="57"/>
      <c r="D9" s="57"/>
      <c r="E9" s="57"/>
      <c r="F9" s="57"/>
      <c r="G9" s="57"/>
      <c r="H9" s="57"/>
      <c r="I9" s="57"/>
      <c r="J9" s="57"/>
      <c r="K9" s="72"/>
      <c r="L9" s="72"/>
      <c r="M9" s="72"/>
      <c r="N9" s="72"/>
    </row>
    <row r="10" spans="1:28" s="27" customFormat="1" x14ac:dyDescent="0.2">
      <c r="A10" s="66" t="s">
        <v>61</v>
      </c>
      <c r="B10" s="66"/>
      <c r="C10" s="34"/>
      <c r="D10" s="35"/>
      <c r="E10" s="35"/>
      <c r="G10" s="29"/>
      <c r="H10" s="29"/>
      <c r="I10" s="29"/>
      <c r="J10" s="29"/>
    </row>
    <row r="11" spans="1:28" s="27" customFormat="1" x14ac:dyDescent="0.2">
      <c r="A11" s="67" t="s">
        <v>62</v>
      </c>
      <c r="B11" s="67"/>
      <c r="C11" s="34"/>
      <c r="D11" s="35"/>
      <c r="E11" s="35"/>
      <c r="G11" s="29"/>
      <c r="H11" s="29"/>
      <c r="I11" s="29"/>
      <c r="J11" s="29"/>
    </row>
    <row r="12" spans="1:28" s="27" customFormat="1" x14ac:dyDescent="0.2">
      <c r="A12" s="36" t="s">
        <v>58</v>
      </c>
      <c r="B12" s="36"/>
      <c r="C12" s="34"/>
      <c r="D12" s="36"/>
      <c r="E12" s="36"/>
      <c r="G12" s="29"/>
      <c r="H12" s="29"/>
      <c r="I12" s="29"/>
      <c r="J12" s="29"/>
    </row>
    <row r="13" spans="1:28" s="27" customFormat="1" ht="18" customHeight="1" x14ac:dyDescent="0.2">
      <c r="A13" s="57" t="s">
        <v>71</v>
      </c>
      <c r="B13" s="57"/>
      <c r="C13" s="57"/>
      <c r="D13" s="57"/>
      <c r="E13" s="57"/>
      <c r="F13" s="57"/>
      <c r="G13" s="57"/>
      <c r="H13" s="57"/>
      <c r="I13" s="57"/>
      <c r="J13" s="58"/>
      <c r="K13" s="58"/>
      <c r="L13" s="58"/>
      <c r="M13" s="58"/>
      <c r="N13" s="58"/>
      <c r="O13" s="58"/>
      <c r="P13" s="58"/>
      <c r="Q13" s="58"/>
    </row>
    <row r="14" spans="1:28" s="27" customFormat="1" x14ac:dyDescent="0.2">
      <c r="A14" s="57" t="s">
        <v>57</v>
      </c>
      <c r="B14" s="57"/>
      <c r="C14" s="57"/>
      <c r="D14" s="57"/>
      <c r="E14" s="57"/>
      <c r="F14" s="57"/>
      <c r="G14" s="57"/>
      <c r="H14" s="57"/>
      <c r="I14" s="29"/>
      <c r="J14" s="29"/>
      <c r="Q14" s="39"/>
    </row>
    <row r="15" spans="1:28" s="37" customFormat="1" ht="21.75" customHeight="1" x14ac:dyDescent="0.2">
      <c r="A15" s="52" t="s">
        <v>0</v>
      </c>
      <c r="B15" s="52" t="s">
        <v>1</v>
      </c>
      <c r="C15" s="52" t="s">
        <v>2</v>
      </c>
      <c r="D15" s="52" t="s">
        <v>3</v>
      </c>
      <c r="E15" s="52" t="s">
        <v>54</v>
      </c>
      <c r="F15" s="52" t="s">
        <v>52</v>
      </c>
      <c r="G15" s="3"/>
      <c r="H15" s="3"/>
      <c r="I15" s="52" t="s">
        <v>52</v>
      </c>
      <c r="J15" s="3"/>
      <c r="K15" s="3"/>
      <c r="L15" s="52" t="s">
        <v>53</v>
      </c>
      <c r="M15" s="3"/>
      <c r="N15" s="8"/>
      <c r="O15" s="55" t="s">
        <v>54</v>
      </c>
      <c r="P15" s="38" t="s">
        <v>5</v>
      </c>
      <c r="Q15" s="59" t="s">
        <v>5</v>
      </c>
    </row>
    <row r="16" spans="1:28" s="37" customFormat="1" ht="78.75" customHeight="1" x14ac:dyDescent="0.2">
      <c r="A16" s="53"/>
      <c r="B16" s="53"/>
      <c r="C16" s="53"/>
      <c r="D16" s="53"/>
      <c r="E16" s="54"/>
      <c r="F16" s="54"/>
      <c r="G16" s="3"/>
      <c r="H16" s="3"/>
      <c r="I16" s="54"/>
      <c r="J16" s="3"/>
      <c r="K16" s="3"/>
      <c r="L16" s="54"/>
      <c r="M16" s="3"/>
      <c r="N16" s="9"/>
      <c r="O16" s="56"/>
      <c r="P16" s="9" t="s">
        <v>4</v>
      </c>
      <c r="Q16" s="60"/>
    </row>
    <row r="17" spans="1:27" x14ac:dyDescent="0.2">
      <c r="A17" s="11">
        <v>1</v>
      </c>
      <c r="B17" s="11">
        <v>2</v>
      </c>
      <c r="C17" s="11">
        <v>3</v>
      </c>
      <c r="D17" s="11">
        <v>4</v>
      </c>
      <c r="E17" s="11">
        <v>5</v>
      </c>
      <c r="F17" s="11">
        <v>6</v>
      </c>
      <c r="G17" s="11"/>
      <c r="H17" s="11"/>
      <c r="I17" s="11"/>
      <c r="J17" s="11"/>
      <c r="K17" s="11"/>
      <c r="L17" s="11">
        <v>7</v>
      </c>
      <c r="M17" s="11"/>
      <c r="N17" s="11">
        <v>7</v>
      </c>
      <c r="O17" s="11">
        <v>5</v>
      </c>
      <c r="P17" s="11">
        <v>6</v>
      </c>
      <c r="Q17" s="11">
        <v>8</v>
      </c>
    </row>
    <row r="18" spans="1:27" s="4" customFormat="1" ht="21" customHeight="1" x14ac:dyDescent="0.2">
      <c r="A18" s="50" t="s">
        <v>6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</row>
    <row r="19" spans="1:27" s="5" customFormat="1" ht="54" customHeight="1" x14ac:dyDescent="0.2">
      <c r="A19" s="17">
        <v>1</v>
      </c>
      <c r="B19" s="18" t="s">
        <v>7</v>
      </c>
      <c r="C19" s="18" t="s">
        <v>8</v>
      </c>
      <c r="D19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(8657 / 100) * 25.04 * 1,1*0,75*0,1177</v>
      </c>
      <c r="E19" s="20" t="s">
        <v>13</v>
      </c>
      <c r="F19" s="20">
        <f>IF( 86.57 = "","0",86.57)</f>
        <v>86.57</v>
      </c>
      <c r="G19" s="20" t="str">
        <f ca="1">IF(INDIRECT("J" &amp; ROW())="текущие цены", IF(INDIRECT("G" &amp; ROW())="", "0", "0"), IF(INDIRECT("G" &amp; ROW())="", "2.43","25.04"))</f>
        <v>25.04</v>
      </c>
      <c r="H19" s="20" t="s">
        <v>9</v>
      </c>
      <c r="I19" s="20" t="s">
        <v>10</v>
      </c>
      <c r="J19" s="20"/>
      <c r="K19" s="20" t="s">
        <v>11</v>
      </c>
      <c r="L19" s="26" t="s">
        <v>12</v>
      </c>
      <c r="M19" s="20">
        <v>1</v>
      </c>
      <c r="N19" s="20"/>
      <c r="O19" s="21">
        <f ca="1">IF(ISNUMBER(INDIRECT("P" &amp; ROW())), INDIRECT("P" &amp; ROW())*0.4, " ")</f>
        <v>84</v>
      </c>
      <c r="P19" s="21">
        <f ca="1">IF(ISNUMBER(INDIRECT("P" &amp; ROW())), INDIRECT("P" &amp; ROW())*0.6, " ")</f>
        <v>126</v>
      </c>
      <c r="Q19" s="21">
        <f ca="1">IF(INDIRECT("J" &amp; ROW())="текущие цены", 0, 210)</f>
        <v>210</v>
      </c>
      <c r="R19" s="4"/>
      <c r="S19" s="4"/>
      <c r="T19" s="4"/>
      <c r="U19" s="4"/>
      <c r="AA19" s="4"/>
    </row>
    <row r="20" spans="1:27" x14ac:dyDescent="0.2">
      <c r="A20" s="40" t="s">
        <v>14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16">
        <f t="shared" ref="O20:O23" ca="1" si="0">IF(ISNUMBER(INDIRECT("P" &amp; ROW())), INDIRECT("P" &amp; ROW()) * 0.4, " ")</f>
        <v>84</v>
      </c>
      <c r="P20" s="16">
        <f t="shared" ref="P20:P23" ca="1" si="1">IF(ISNUMBER(INDIRECT("P" &amp; ROW())), INDIRECT("P" &amp; ROW()) * 0.6, " ")</f>
        <v>126</v>
      </c>
      <c r="Q20" s="16">
        <v>210</v>
      </c>
      <c r="R20" s="4"/>
      <c r="S20" s="4"/>
      <c r="T20" s="4"/>
      <c r="U20" s="4"/>
    </row>
    <row r="21" spans="1:27" x14ac:dyDescent="0.2">
      <c r="A21" s="42" t="s">
        <v>15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22" t="str">
        <f t="shared" ca="1" si="0"/>
        <v xml:space="preserve"> </v>
      </c>
      <c r="P21" s="22" t="str">
        <f t="shared" ca="1" si="1"/>
        <v xml:space="preserve"> </v>
      </c>
      <c r="Q21" s="22"/>
      <c r="R21" s="4"/>
      <c r="S21" s="4"/>
      <c r="T21" s="4"/>
      <c r="U21" s="4"/>
    </row>
    <row r="22" spans="1:27" ht="18.75" customHeight="1" x14ac:dyDescent="0.2">
      <c r="A22" s="40" t="s">
        <v>69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16">
        <f t="shared" ca="1" si="0"/>
        <v>2534.4</v>
      </c>
      <c r="P22" s="16">
        <f t="shared" ca="1" si="1"/>
        <v>3801.6</v>
      </c>
      <c r="Q22" s="16">
        <v>6336</v>
      </c>
      <c r="R22" s="4"/>
      <c r="S22" s="4"/>
      <c r="T22" s="4"/>
      <c r="U22" s="4"/>
    </row>
    <row r="23" spans="1:27" x14ac:dyDescent="0.2">
      <c r="A23" s="47" t="s">
        <v>18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23">
        <f t="shared" ca="1" si="0"/>
        <v>2534.4</v>
      </c>
      <c r="P23" s="23">
        <f t="shared" ca="1" si="1"/>
        <v>3801.6</v>
      </c>
      <c r="Q23" s="23">
        <v>6336</v>
      </c>
      <c r="R23" s="4"/>
      <c r="S23" s="4"/>
      <c r="T23" s="4"/>
      <c r="U23" s="4"/>
    </row>
    <row r="24" spans="1:27" ht="21" customHeight="1" x14ac:dyDescent="0.2">
      <c r="A24" s="50" t="s">
        <v>19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4"/>
      <c r="S24" s="4"/>
      <c r="T24" s="4"/>
      <c r="U24" s="4"/>
    </row>
    <row r="25" spans="1:27" ht="62.25" customHeight="1" x14ac:dyDescent="0.2">
      <c r="A25" s="17">
        <v>2</v>
      </c>
      <c r="B25" s="18" t="s">
        <v>20</v>
      </c>
      <c r="C25" s="18" t="s">
        <v>21</v>
      </c>
      <c r="D25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(8657 / 100) * 23.98 * 1,1*0,034*0,75</v>
      </c>
      <c r="E25" s="20" t="s">
        <v>13</v>
      </c>
      <c r="F25" s="20">
        <f>IF( 86.57 = "","0",86.57)</f>
        <v>86.57</v>
      </c>
      <c r="G25" s="20" t="str">
        <f ca="1">IF(INDIRECT("J" &amp; ROW())="текущие цены", IF(INDIRECT("G" &amp; ROW())="", "0", "0"), IF(INDIRECT("G" &amp; ROW())="", "0.68","23.98"))</f>
        <v>23.98</v>
      </c>
      <c r="H25" s="20" t="s">
        <v>22</v>
      </c>
      <c r="I25" s="20" t="s">
        <v>10</v>
      </c>
      <c r="J25" s="20"/>
      <c r="K25" s="20" t="s">
        <v>11</v>
      </c>
      <c r="L25" s="26" t="s">
        <v>23</v>
      </c>
      <c r="M25" s="20">
        <v>2</v>
      </c>
      <c r="N25" s="20"/>
      <c r="O25" s="21">
        <f ca="1">IF(ISNUMBER(INDIRECT("P" &amp; ROW())), INDIRECT("P" &amp; ROW())*0.4, " ")</f>
        <v>23.6</v>
      </c>
      <c r="P25" s="21">
        <f ca="1">IF(ISNUMBER(INDIRECT("P" &amp; ROW())), INDIRECT("P" &amp; ROW())*0.6, " ")</f>
        <v>35.4</v>
      </c>
      <c r="Q25" s="21">
        <f ca="1">IF(INDIRECT("J" &amp; ROW())="текущие цены", 0, 59)</f>
        <v>59</v>
      </c>
      <c r="R25" s="4"/>
      <c r="S25" s="4"/>
      <c r="T25" s="4"/>
      <c r="U25" s="4"/>
    </row>
    <row r="26" spans="1:27" x14ac:dyDescent="0.2">
      <c r="A26" s="40" t="s">
        <v>14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16">
        <f t="shared" ref="O26:O30" ca="1" si="2">IF(ISNUMBER(INDIRECT("P" &amp; ROW())), INDIRECT("P" &amp; ROW()) * 0.4, " ")</f>
        <v>23.6</v>
      </c>
      <c r="P26" s="16">
        <f t="shared" ref="P26:P30" ca="1" si="3">IF(ISNUMBER(INDIRECT("P" &amp; ROW())), INDIRECT("P" &amp; ROW()) * 0.6, " ")</f>
        <v>35.4</v>
      </c>
      <c r="Q26" s="16">
        <v>59</v>
      </c>
      <c r="R26" s="4"/>
      <c r="S26" s="4"/>
      <c r="T26" s="4"/>
      <c r="U26" s="4"/>
    </row>
    <row r="27" spans="1:27" x14ac:dyDescent="0.2">
      <c r="A27" s="42" t="s">
        <v>24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22" t="str">
        <f t="shared" ca="1" si="2"/>
        <v xml:space="preserve"> </v>
      </c>
      <c r="P27" s="22" t="str">
        <f t="shared" ca="1" si="3"/>
        <v xml:space="preserve"> </v>
      </c>
      <c r="Q27" s="22"/>
      <c r="R27" s="4"/>
      <c r="S27" s="4"/>
      <c r="T27" s="4"/>
      <c r="U27" s="4"/>
    </row>
    <row r="28" spans="1:27" ht="16.5" customHeight="1" x14ac:dyDescent="0.2">
      <c r="A28" s="40" t="s">
        <v>16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16">
        <f t="shared" ca="1" si="2"/>
        <v>23.6</v>
      </c>
      <c r="P28" s="16">
        <f t="shared" ca="1" si="3"/>
        <v>35.4</v>
      </c>
      <c r="Q28" s="16">
        <v>59</v>
      </c>
      <c r="R28" s="4"/>
      <c r="S28" s="4"/>
      <c r="T28" s="4"/>
      <c r="U28" s="4"/>
    </row>
    <row r="29" spans="1:27" ht="14.25" customHeight="1" x14ac:dyDescent="0.2">
      <c r="A29" s="40" t="s">
        <v>69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16">
        <f t="shared" ca="1" si="2"/>
        <v>712</v>
      </c>
      <c r="P29" s="16">
        <f t="shared" ca="1" si="3"/>
        <v>1068</v>
      </c>
      <c r="Q29" s="16">
        <v>1780</v>
      </c>
      <c r="R29" s="4"/>
      <c r="S29" s="4"/>
      <c r="T29" s="4"/>
      <c r="U29" s="4"/>
    </row>
    <row r="30" spans="1:27" x14ac:dyDescent="0.2">
      <c r="A30" s="47" t="s">
        <v>25</v>
      </c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23">
        <f t="shared" ca="1" si="2"/>
        <v>712</v>
      </c>
      <c r="P30" s="23">
        <f t="shared" ca="1" si="3"/>
        <v>1068</v>
      </c>
      <c r="Q30" s="23">
        <v>1780</v>
      </c>
      <c r="R30" s="4"/>
      <c r="S30" s="4"/>
      <c r="T30" s="4"/>
      <c r="U30" s="4"/>
    </row>
    <row r="31" spans="1:27" ht="21" customHeight="1" x14ac:dyDescent="0.2">
      <c r="A31" s="50" t="s">
        <v>26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4"/>
      <c r="S31" s="4"/>
      <c r="T31" s="4"/>
      <c r="U31" s="4"/>
    </row>
    <row r="32" spans="1:27" ht="63.75" customHeight="1" x14ac:dyDescent="0.2">
      <c r="A32" s="12">
        <v>3</v>
      </c>
      <c r="B32" s="13" t="s">
        <v>27</v>
      </c>
      <c r="C32" s="13" t="s">
        <v>28</v>
      </c>
      <c r="D32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200000 * 1,1*0,072*0,3</v>
      </c>
      <c r="E32" s="15" t="s">
        <v>31</v>
      </c>
      <c r="F32" s="15">
        <f>IF( 1 = "","0",1)</f>
        <v>1</v>
      </c>
      <c r="G32" s="15" t="str">
        <f ca="1">IF(INDIRECT("J" &amp; ROW())="текущие цены", IF(INDIRECT("G" &amp; ROW())="", "0", "0"), IF(INDIRECT("G" &amp; ROW())="", "4752","200000"))</f>
        <v>200000</v>
      </c>
      <c r="H32" s="15" t="s">
        <v>29</v>
      </c>
      <c r="I32" s="15"/>
      <c r="J32" s="15"/>
      <c r="K32" s="15" t="s">
        <v>11</v>
      </c>
      <c r="L32" s="44" t="s">
        <v>30</v>
      </c>
      <c r="M32" s="15">
        <v>3</v>
      </c>
      <c r="N32" s="15"/>
      <c r="O32" s="16">
        <f ca="1">IF(ISNUMBER(INDIRECT("P" &amp; ROW())), INDIRECT("P" &amp; ROW())*0.4, " ")</f>
        <v>1900.8000000000002</v>
      </c>
      <c r="P32" s="16">
        <f ca="1">IF(ISNUMBER(INDIRECT("P" &amp; ROW())), INDIRECT("P" &amp; ROW())*0.6, " ")</f>
        <v>2851.2</v>
      </c>
      <c r="Q32" s="16">
        <f ca="1">IF(INDIRECT("J" &amp; ROW())="текущие цены", 0, 4752)</f>
        <v>4752</v>
      </c>
      <c r="R32" s="4"/>
      <c r="S32" s="4"/>
      <c r="T32" s="4"/>
      <c r="U32" s="4"/>
    </row>
    <row r="33" spans="1:21" ht="62.25" customHeight="1" x14ac:dyDescent="0.2">
      <c r="A33" s="17">
        <v>4</v>
      </c>
      <c r="B33" s="18" t="s">
        <v>27</v>
      </c>
      <c r="C33" s="18" t="s">
        <v>32</v>
      </c>
      <c r="D33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8657 * 6 * 1,1*0,072*0,3</v>
      </c>
      <c r="E33" s="20" t="s">
        <v>33</v>
      </c>
      <c r="F33" s="20">
        <f>IF( 8657 = "","0",8657)</f>
        <v>8657</v>
      </c>
      <c r="G33" s="20" t="str">
        <f ca="1">IF(INDIRECT("J" &amp; ROW())="текущие цены", IF(INDIRECT("G" &amp; ROW())="", "0", "0"), IF(INDIRECT("G" &amp; ROW())="", "0.14","6"))</f>
        <v>6</v>
      </c>
      <c r="H33" s="20" t="s">
        <v>29</v>
      </c>
      <c r="I33" s="20"/>
      <c r="J33" s="20"/>
      <c r="K33" s="20" t="s">
        <v>11</v>
      </c>
      <c r="L33" s="45"/>
      <c r="M33" s="20">
        <v>3</v>
      </c>
      <c r="N33" s="20"/>
      <c r="O33" s="21">
        <f ca="1">IF(ISNUMBER(INDIRECT("P" &amp; ROW())), INDIRECT("P" &amp; ROW())*0.4, " ")</f>
        <v>484.8</v>
      </c>
      <c r="P33" s="21">
        <f ca="1">IF(ISNUMBER(INDIRECT("P" &amp; ROW())), INDIRECT("P" &amp; ROW())*0.6, " ")</f>
        <v>727.19999999999993</v>
      </c>
      <c r="Q33" s="21">
        <f ca="1">IF(INDIRECT("J" &amp; ROW())="текущие цены", 0, 1212)</f>
        <v>1212</v>
      </c>
      <c r="R33" s="4"/>
      <c r="S33" s="4"/>
      <c r="T33" s="4"/>
      <c r="U33" s="4"/>
    </row>
    <row r="34" spans="1:21" x14ac:dyDescent="0.2">
      <c r="A34" s="40" t="s">
        <v>14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16">
        <f t="shared" ref="O34:O37" ca="1" si="4">IF(ISNUMBER(INDIRECT("P" &amp; ROW())), INDIRECT("P" &amp; ROW()) * 0.4, " ")</f>
        <v>2385.6</v>
      </c>
      <c r="P34" s="16">
        <f t="shared" ref="P34:P37" ca="1" si="5">IF(ISNUMBER(INDIRECT("P" &amp; ROW())), INDIRECT("P" &amp; ROW()) * 0.6, " ")</f>
        <v>3578.4</v>
      </c>
      <c r="Q34" s="16">
        <v>5964</v>
      </c>
      <c r="R34" s="4"/>
      <c r="S34" s="4"/>
      <c r="T34" s="4"/>
      <c r="U34" s="4"/>
    </row>
    <row r="35" spans="1:21" x14ac:dyDescent="0.2">
      <c r="A35" s="42" t="s">
        <v>34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22" t="str">
        <f t="shared" ca="1" si="4"/>
        <v xml:space="preserve"> </v>
      </c>
      <c r="P35" s="22" t="str">
        <f t="shared" ca="1" si="5"/>
        <v xml:space="preserve"> </v>
      </c>
      <c r="Q35" s="22"/>
      <c r="R35" s="4"/>
      <c r="S35" s="4"/>
      <c r="T35" s="4"/>
      <c r="U35" s="4"/>
    </row>
    <row r="36" spans="1:21" ht="14.25" customHeight="1" x14ac:dyDescent="0.2">
      <c r="A36" s="40" t="s">
        <v>35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16">
        <f t="shared" ca="1" si="4"/>
        <v>9351.6</v>
      </c>
      <c r="P36" s="16">
        <f t="shared" ca="1" si="5"/>
        <v>14027.4</v>
      </c>
      <c r="Q36" s="16">
        <v>23379</v>
      </c>
      <c r="R36" s="4"/>
      <c r="S36" s="4"/>
      <c r="T36" s="4"/>
      <c r="U36" s="4"/>
    </row>
    <row r="37" spans="1:21" x14ac:dyDescent="0.2">
      <c r="A37" s="47" t="s">
        <v>36</v>
      </c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23">
        <f t="shared" ca="1" si="4"/>
        <v>9351.6</v>
      </c>
      <c r="P37" s="23">
        <f t="shared" ca="1" si="5"/>
        <v>14027.4</v>
      </c>
      <c r="Q37" s="23">
        <v>23379</v>
      </c>
      <c r="R37" s="4"/>
      <c r="S37" s="4"/>
      <c r="T37" s="4"/>
      <c r="U37" s="4"/>
    </row>
    <row r="38" spans="1:21" ht="15" customHeight="1" x14ac:dyDescent="0.2">
      <c r="A38" s="50" t="s">
        <v>37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4"/>
      <c r="S38" s="4"/>
      <c r="T38" s="4"/>
      <c r="U38" s="4"/>
    </row>
    <row r="39" spans="1:21" ht="66" customHeight="1" x14ac:dyDescent="0.2">
      <c r="A39" s="12">
        <v>5</v>
      </c>
      <c r="B39" s="13" t="s">
        <v>27</v>
      </c>
      <c r="C39" s="13" t="s">
        <v>28</v>
      </c>
      <c r="D39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200000 * 1,1*0,072*0,04*0,3</v>
      </c>
      <c r="E39" s="15" t="s">
        <v>31</v>
      </c>
      <c r="F39" s="15">
        <f>IF( 1 = "","0",1)</f>
        <v>1</v>
      </c>
      <c r="G39" s="15" t="str">
        <f ca="1">IF(INDIRECT("J" &amp; ROW())="текущие цены", IF(INDIRECT("G" &amp; ROW())="", "0", "0"), IF(INDIRECT("G" &amp; ROW())="", "190.08","200000"))</f>
        <v>200000</v>
      </c>
      <c r="H39" s="15" t="s">
        <v>38</v>
      </c>
      <c r="I39" s="15"/>
      <c r="J39" s="15"/>
      <c r="K39" s="15" t="s">
        <v>11</v>
      </c>
      <c r="L39" s="44" t="s">
        <v>39</v>
      </c>
      <c r="M39" s="15">
        <v>4</v>
      </c>
      <c r="N39" s="15"/>
      <c r="O39" s="16">
        <f ca="1">IF(ISNUMBER(INDIRECT("P" &amp; ROW())), INDIRECT("P" &amp; ROW())*0.4, " ")</f>
        <v>76</v>
      </c>
      <c r="P39" s="16">
        <f ca="1">IF(ISNUMBER(INDIRECT("P" &amp; ROW())), INDIRECT("P" &amp; ROW())*0.6, " ")</f>
        <v>114</v>
      </c>
      <c r="Q39" s="16">
        <f ca="1">IF(INDIRECT("J" &amp; ROW())="текущие цены", 0, 190)</f>
        <v>190</v>
      </c>
      <c r="R39" s="4"/>
      <c r="S39" s="4"/>
      <c r="T39" s="4"/>
      <c r="U39" s="4"/>
    </row>
    <row r="40" spans="1:21" ht="60.75" customHeight="1" x14ac:dyDescent="0.2">
      <c r="A40" s="17">
        <v>6</v>
      </c>
      <c r="B40" s="18" t="s">
        <v>27</v>
      </c>
      <c r="C40" s="18" t="s">
        <v>32</v>
      </c>
      <c r="D40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8657 * 6 * 1,1*0,072*0,04*0,3</v>
      </c>
      <c r="E40" s="20" t="s">
        <v>33</v>
      </c>
      <c r="F40" s="20">
        <f>IF( 8657 = "","0",8657)</f>
        <v>8657</v>
      </c>
      <c r="G40" s="20" t="str">
        <f ca="1">IF(INDIRECT("J" &amp; ROW())="текущие цены", IF(INDIRECT("G" &amp; ROW())="", "0", "0"), IF(INDIRECT("G" &amp; ROW())="", "0.01","6"))</f>
        <v>6</v>
      </c>
      <c r="H40" s="20" t="s">
        <v>38</v>
      </c>
      <c r="I40" s="20"/>
      <c r="J40" s="20"/>
      <c r="K40" s="20" t="s">
        <v>11</v>
      </c>
      <c r="L40" s="45"/>
      <c r="M40" s="20">
        <v>4</v>
      </c>
      <c r="N40" s="20"/>
      <c r="O40" s="21">
        <f ca="1">IF(ISNUMBER(INDIRECT("P" &amp; ROW())), INDIRECT("P" &amp; ROW())*0.4, " ")</f>
        <v>34.800000000000004</v>
      </c>
      <c r="P40" s="21">
        <f ca="1">IF(ISNUMBER(INDIRECT("P" &amp; ROW())), INDIRECT("P" &amp; ROW())*0.6, " ")</f>
        <v>52.199999999999996</v>
      </c>
      <c r="Q40" s="21">
        <f ca="1">IF(INDIRECT("J" &amp; ROW())="текущие цены", 0, 87)</f>
        <v>87</v>
      </c>
      <c r="R40" s="4"/>
      <c r="S40" s="4"/>
      <c r="T40" s="4"/>
      <c r="U40" s="4"/>
    </row>
    <row r="41" spans="1:21" x14ac:dyDescent="0.2">
      <c r="A41" s="40" t="s">
        <v>14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16">
        <f t="shared" ref="O41:O44" ca="1" si="6">IF(ISNUMBER(INDIRECT("P" &amp; ROW())), INDIRECT("P" &amp; ROW()) * 0.4, " ")</f>
        <v>110.80000000000001</v>
      </c>
      <c r="P41" s="16">
        <f t="shared" ref="P41:P44" ca="1" si="7">IF(ISNUMBER(INDIRECT("P" &amp; ROW())), INDIRECT("P" &amp; ROW()) * 0.6, " ")</f>
        <v>166.2</v>
      </c>
      <c r="Q41" s="16">
        <v>277</v>
      </c>
      <c r="R41" s="4"/>
      <c r="S41" s="4"/>
      <c r="T41" s="4"/>
      <c r="U41" s="4"/>
    </row>
    <row r="42" spans="1:21" x14ac:dyDescent="0.2">
      <c r="A42" s="42" t="s">
        <v>40</v>
      </c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22" t="str">
        <f t="shared" ca="1" si="6"/>
        <v xml:space="preserve"> </v>
      </c>
      <c r="P42" s="22" t="str">
        <f t="shared" ca="1" si="7"/>
        <v xml:space="preserve"> </v>
      </c>
      <c r="Q42" s="22"/>
      <c r="R42" s="4"/>
      <c r="S42" s="4"/>
      <c r="T42" s="4"/>
      <c r="U42" s="4"/>
    </row>
    <row r="43" spans="1:21" ht="27.95" customHeight="1" x14ac:dyDescent="0.2">
      <c r="A43" s="40" t="s">
        <v>35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16">
        <f t="shared" ca="1" si="6"/>
        <v>434.40000000000003</v>
      </c>
      <c r="P43" s="16">
        <f t="shared" ca="1" si="7"/>
        <v>651.6</v>
      </c>
      <c r="Q43" s="16">
        <v>1086</v>
      </c>
      <c r="R43" s="4"/>
      <c r="S43" s="4"/>
      <c r="T43" s="4"/>
      <c r="U43" s="4"/>
    </row>
    <row r="44" spans="1:21" x14ac:dyDescent="0.2">
      <c r="A44" s="47" t="s">
        <v>41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23">
        <f t="shared" ca="1" si="6"/>
        <v>434.40000000000003</v>
      </c>
      <c r="P44" s="23">
        <f t="shared" ca="1" si="7"/>
        <v>651.6</v>
      </c>
      <c r="Q44" s="23">
        <v>1086</v>
      </c>
      <c r="R44" s="4"/>
      <c r="S44" s="4"/>
      <c r="T44" s="4"/>
      <c r="U44" s="4"/>
    </row>
    <row r="45" spans="1:21" ht="21" customHeight="1" x14ac:dyDescent="0.2">
      <c r="A45" s="50" t="s">
        <v>42</v>
      </c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4"/>
      <c r="S45" s="4"/>
      <c r="T45" s="4"/>
      <c r="U45" s="4"/>
    </row>
    <row r="46" spans="1:21" ht="63.75" customHeight="1" x14ac:dyDescent="0.2">
      <c r="A46" s="12">
        <v>7</v>
      </c>
      <c r="B46" s="13" t="s">
        <v>27</v>
      </c>
      <c r="C46" s="13" t="s">
        <v>28</v>
      </c>
      <c r="D46" s="14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200000 * 1,1*0,072*0,05*0,3</v>
      </c>
      <c r="E46" s="15" t="s">
        <v>31</v>
      </c>
      <c r="F46" s="15">
        <f>IF( 1 = "","0",1)</f>
        <v>1</v>
      </c>
      <c r="G46" s="15" t="str">
        <f ca="1">IF(INDIRECT("J" &amp; ROW())="текущие цены", IF(INDIRECT("G" &amp; ROW())="", "0", "0"), IF(INDIRECT("G" &amp; ROW())="", "237.6","200000"))</f>
        <v>200000</v>
      </c>
      <c r="H46" s="15" t="s">
        <v>43</v>
      </c>
      <c r="I46" s="15"/>
      <c r="J46" s="15"/>
      <c r="K46" s="15" t="s">
        <v>11</v>
      </c>
      <c r="L46" s="44" t="s">
        <v>44</v>
      </c>
      <c r="M46" s="15">
        <v>5</v>
      </c>
      <c r="N46" s="15"/>
      <c r="O46" s="16">
        <f ca="1">IF(ISNUMBER(INDIRECT("P" &amp; ROW())), INDIRECT("P" &amp; ROW())*0.4, " ")</f>
        <v>95.2</v>
      </c>
      <c r="P46" s="16">
        <f ca="1">IF(ISNUMBER(INDIRECT("P" &amp; ROW())), INDIRECT("P" &amp; ROW())*0.6, " ")</f>
        <v>142.79999999999998</v>
      </c>
      <c r="Q46" s="16">
        <f ca="1">IF(INDIRECT("J" &amp; ROW())="текущие цены", 0, 238)</f>
        <v>238</v>
      </c>
      <c r="R46" s="4"/>
      <c r="S46" s="4"/>
      <c r="T46" s="4"/>
      <c r="U46" s="4"/>
    </row>
    <row r="47" spans="1:21" ht="63.75" customHeight="1" x14ac:dyDescent="0.2">
      <c r="A47" s="17">
        <v>8</v>
      </c>
      <c r="B47" s="18" t="s">
        <v>27</v>
      </c>
      <c r="C47" s="18" t="s">
        <v>32</v>
      </c>
      <c r="D47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8657 * 6 * 1,1*0,072*0,05*0,3</v>
      </c>
      <c r="E47" s="20" t="s">
        <v>33</v>
      </c>
      <c r="F47" s="20">
        <f>IF( 8657 = "","0",8657)</f>
        <v>8657</v>
      </c>
      <c r="G47" s="20" t="str">
        <f ca="1">IF(INDIRECT("J" &amp; ROW())="текущие цены", IF(INDIRECT("G" &amp; ROW())="", "0", "0"), IF(INDIRECT("G" &amp; ROW())="", "0.01","6"))</f>
        <v>6</v>
      </c>
      <c r="H47" s="20" t="s">
        <v>43</v>
      </c>
      <c r="I47" s="20"/>
      <c r="J47" s="20"/>
      <c r="K47" s="20" t="s">
        <v>11</v>
      </c>
      <c r="L47" s="45"/>
      <c r="M47" s="20">
        <v>5</v>
      </c>
      <c r="N47" s="20"/>
      <c r="O47" s="21">
        <f ca="1">IF(ISNUMBER(INDIRECT("P" &amp; ROW())), INDIRECT("P" &amp; ROW())*0.4, " ")</f>
        <v>34.800000000000004</v>
      </c>
      <c r="P47" s="21">
        <f ca="1">IF(ISNUMBER(INDIRECT("P" &amp; ROW())), INDIRECT("P" &amp; ROW())*0.6, " ")</f>
        <v>52.199999999999996</v>
      </c>
      <c r="Q47" s="21">
        <f ca="1">IF(INDIRECT("J" &amp; ROW())="текущие цены", 0, 87)</f>
        <v>87</v>
      </c>
      <c r="R47" s="4"/>
      <c r="S47" s="4"/>
      <c r="T47" s="4"/>
      <c r="U47" s="4"/>
    </row>
    <row r="48" spans="1:21" x14ac:dyDescent="0.2">
      <c r="A48" s="40" t="s">
        <v>14</v>
      </c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16">
        <f t="shared" ref="O48:O58" ca="1" si="8">IF(ISNUMBER(INDIRECT("P" &amp; ROW())), INDIRECT("P" &amp; ROW()) * 0.4, " ")</f>
        <v>130</v>
      </c>
      <c r="P48" s="16">
        <f t="shared" ref="P48:P58" ca="1" si="9">IF(ISNUMBER(INDIRECT("P" &amp; ROW())), INDIRECT("P" &amp; ROW()) * 0.6, " ")</f>
        <v>195</v>
      </c>
      <c r="Q48" s="16">
        <v>325</v>
      </c>
      <c r="R48" s="4"/>
      <c r="S48" s="4"/>
      <c r="T48" s="4"/>
      <c r="U48" s="4"/>
    </row>
    <row r="49" spans="1:23" x14ac:dyDescent="0.2">
      <c r="A49" s="42" t="s">
        <v>45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22" t="str">
        <f t="shared" ca="1" si="8"/>
        <v xml:space="preserve"> </v>
      </c>
      <c r="P49" s="22" t="str">
        <f t="shared" ca="1" si="9"/>
        <v xml:space="preserve"> </v>
      </c>
      <c r="Q49" s="22"/>
      <c r="R49" s="4"/>
      <c r="S49" s="4"/>
      <c r="T49" s="4"/>
      <c r="U49" s="4"/>
    </row>
    <row r="50" spans="1:23" ht="27.95" customHeight="1" x14ac:dyDescent="0.2">
      <c r="A50" s="40" t="s">
        <v>35</v>
      </c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16">
        <f t="shared" ca="1" si="8"/>
        <v>509.6</v>
      </c>
      <c r="P50" s="16">
        <f t="shared" ca="1" si="9"/>
        <v>764.4</v>
      </c>
      <c r="Q50" s="16">
        <v>1274</v>
      </c>
      <c r="R50" s="4"/>
      <c r="S50" s="4"/>
      <c r="T50" s="4"/>
      <c r="U50" s="4"/>
    </row>
    <row r="51" spans="1:23" x14ac:dyDescent="0.2">
      <c r="A51" s="47" t="s">
        <v>46</v>
      </c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23">
        <f t="shared" ca="1" si="8"/>
        <v>509.6</v>
      </c>
      <c r="P51" s="23">
        <f t="shared" ca="1" si="9"/>
        <v>764.4</v>
      </c>
      <c r="Q51" s="23">
        <v>1274</v>
      </c>
      <c r="R51" s="4"/>
      <c r="S51" s="4"/>
      <c r="T51" s="4"/>
      <c r="U51" s="4"/>
    </row>
    <row r="52" spans="1:23" x14ac:dyDescent="0.2">
      <c r="A52" s="49" t="s">
        <v>47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24">
        <f t="shared" ca="1" si="8"/>
        <v>2734</v>
      </c>
      <c r="P52" s="24">
        <f t="shared" ca="1" si="9"/>
        <v>4101</v>
      </c>
      <c r="Q52" s="24">
        <v>6835</v>
      </c>
      <c r="R52" s="4"/>
      <c r="S52" s="4"/>
      <c r="T52" s="4"/>
      <c r="U52" s="4"/>
    </row>
    <row r="53" spans="1:23" x14ac:dyDescent="0.2">
      <c r="A53" s="46" t="s">
        <v>48</v>
      </c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25" t="str">
        <f t="shared" ca="1" si="8"/>
        <v xml:space="preserve"> </v>
      </c>
      <c r="P53" s="25" t="str">
        <f t="shared" ca="1" si="9"/>
        <v xml:space="preserve"> </v>
      </c>
      <c r="Q53" s="25"/>
      <c r="R53" s="4"/>
      <c r="S53" s="4"/>
      <c r="T53" s="4"/>
      <c r="U53" s="4"/>
    </row>
    <row r="54" spans="1:23" ht="27.95" customHeight="1" x14ac:dyDescent="0.2">
      <c r="A54" s="49" t="s">
        <v>70</v>
      </c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24">
        <f t="shared" ca="1" si="8"/>
        <v>3246.4</v>
      </c>
      <c r="P54" s="24">
        <f t="shared" ca="1" si="9"/>
        <v>4869.5999999999995</v>
      </c>
      <c r="Q54" s="24">
        <v>8116</v>
      </c>
      <c r="R54" s="4"/>
      <c r="S54" s="4"/>
      <c r="T54" s="4"/>
      <c r="U54" s="4"/>
    </row>
    <row r="55" spans="1:23" ht="27.95" customHeight="1" x14ac:dyDescent="0.2">
      <c r="A55" s="49" t="s">
        <v>49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24">
        <f t="shared" ca="1" si="8"/>
        <v>10295.6</v>
      </c>
      <c r="P55" s="24">
        <f t="shared" ca="1" si="9"/>
        <v>15443.4</v>
      </c>
      <c r="Q55" s="24">
        <v>25739</v>
      </c>
      <c r="R55" s="4"/>
      <c r="S55" s="4"/>
      <c r="T55" s="4"/>
      <c r="U55" s="4"/>
    </row>
    <row r="56" spans="1:23" x14ac:dyDescent="0.2">
      <c r="A56" s="49" t="s">
        <v>17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24">
        <f t="shared" ca="1" si="8"/>
        <v>13542</v>
      </c>
      <c r="P56" s="24">
        <f t="shared" ca="1" si="9"/>
        <v>20313</v>
      </c>
      <c r="Q56" s="24">
        <v>33855</v>
      </c>
      <c r="R56" s="4"/>
      <c r="S56" s="4"/>
      <c r="T56" s="4"/>
      <c r="U56" s="4"/>
    </row>
    <row r="57" spans="1:23" x14ac:dyDescent="0.2">
      <c r="A57" s="49" t="s">
        <v>50</v>
      </c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24">
        <f t="shared" ca="1" si="8"/>
        <v>2437.56</v>
      </c>
      <c r="P57" s="24">
        <f t="shared" ca="1" si="9"/>
        <v>3656.3399999999997</v>
      </c>
      <c r="Q57" s="24">
        <v>6093.9</v>
      </c>
      <c r="R57" s="4"/>
      <c r="S57" s="4"/>
      <c r="T57" s="4"/>
      <c r="U57" s="4"/>
    </row>
    <row r="58" spans="1:23" x14ac:dyDescent="0.2">
      <c r="A58" s="46" t="s">
        <v>51</v>
      </c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25">
        <f t="shared" ca="1" si="8"/>
        <v>15979.560000000001</v>
      </c>
      <c r="P58" s="25">
        <f t="shared" ca="1" si="9"/>
        <v>23969.34</v>
      </c>
      <c r="Q58" s="25">
        <v>39948.9</v>
      </c>
      <c r="R58" s="4"/>
      <c r="S58" s="4"/>
      <c r="T58" s="4"/>
      <c r="U58" s="4"/>
    </row>
    <row r="59" spans="1:23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5"/>
      <c r="S59" s="5"/>
      <c r="T59" s="5"/>
      <c r="U59" s="5"/>
    </row>
    <row r="60" spans="1:23" s="27" customFormat="1" ht="16.5" customHeight="1" x14ac:dyDescent="0.2">
      <c r="A60" s="62" t="s">
        <v>64</v>
      </c>
      <c r="B60" s="63"/>
      <c r="C60" s="63"/>
      <c r="D60" s="63"/>
      <c r="E60" s="63"/>
      <c r="F60" s="63"/>
      <c r="G60" s="63"/>
      <c r="H60" s="63"/>
      <c r="I60" s="63"/>
      <c r="J60" s="58"/>
      <c r="K60" s="58"/>
      <c r="L60" s="58"/>
      <c r="M60" s="58"/>
      <c r="N60" s="58"/>
      <c r="O60" s="58"/>
      <c r="P60" s="58"/>
      <c r="Q60" s="58"/>
    </row>
    <row r="61" spans="1:23" s="27" customFormat="1" ht="21.75" customHeight="1" x14ac:dyDescent="0.2">
      <c r="A61" s="64" t="s">
        <v>55</v>
      </c>
      <c r="B61" s="65"/>
      <c r="C61" s="65"/>
      <c r="D61" s="65"/>
      <c r="E61" s="65"/>
      <c r="F61" s="65"/>
      <c r="G61" s="65"/>
      <c r="H61" s="65"/>
      <c r="I61" s="65"/>
    </row>
    <row r="62" spans="1:23" s="27" customFormat="1" ht="14.25" customHeight="1" x14ac:dyDescent="0.2">
      <c r="A62" s="62" t="s">
        <v>65</v>
      </c>
      <c r="B62" s="62"/>
      <c r="C62" s="62"/>
      <c r="D62" s="62"/>
      <c r="E62" s="62"/>
      <c r="F62" s="62"/>
      <c r="G62" s="62"/>
      <c r="H62" s="62"/>
      <c r="I62" s="62"/>
      <c r="J62" s="58"/>
      <c r="K62" s="58"/>
      <c r="L62" s="58"/>
      <c r="M62" s="58"/>
      <c r="N62" s="58"/>
      <c r="O62" s="58"/>
      <c r="P62" s="58"/>
      <c r="Q62" s="58"/>
    </row>
    <row r="63" spans="1:23" s="27" customFormat="1" ht="12.75" customHeight="1" x14ac:dyDescent="0.2">
      <c r="A63" s="64" t="s">
        <v>55</v>
      </c>
      <c r="B63" s="65"/>
      <c r="C63" s="65"/>
      <c r="D63" s="65"/>
      <c r="E63" s="65"/>
      <c r="F63" s="65"/>
      <c r="G63" s="65"/>
      <c r="H63" s="65"/>
      <c r="I63" s="65"/>
      <c r="W63" s="28"/>
    </row>
    <row r="64" spans="1:23" x14ac:dyDescent="0.2">
      <c r="B64" s="2"/>
      <c r="C64" s="6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6" spans="1:17" x14ac:dyDescent="0.2">
      <c r="A66" s="61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</row>
  </sheetData>
  <mergeCells count="64">
    <mergeCell ref="A1:C1"/>
    <mergeCell ref="I1:N1"/>
    <mergeCell ref="A2:C2"/>
    <mergeCell ref="I2:O2"/>
    <mergeCell ref="A9:N9"/>
    <mergeCell ref="A10:B10"/>
    <mergeCell ref="A11:B11"/>
    <mergeCell ref="L3:Q3"/>
    <mergeCell ref="L4:R4"/>
    <mergeCell ref="L7:R7"/>
    <mergeCell ref="L6:R6"/>
    <mergeCell ref="A28:N28"/>
    <mergeCell ref="A29:N29"/>
    <mergeCell ref="A42:N42"/>
    <mergeCell ref="A30:N30"/>
    <mergeCell ref="A31:Q31"/>
    <mergeCell ref="A37:N37"/>
    <mergeCell ref="A38:Q38"/>
    <mergeCell ref="A66:Q66"/>
    <mergeCell ref="A60:Q60"/>
    <mergeCell ref="A61:I61"/>
    <mergeCell ref="A62:Q62"/>
    <mergeCell ref="A63:I63"/>
    <mergeCell ref="A13:Q13"/>
    <mergeCell ref="A14:H14"/>
    <mergeCell ref="A15:A16"/>
    <mergeCell ref="B15:B16"/>
    <mergeCell ref="A18:Q18"/>
    <mergeCell ref="Q15:Q16"/>
    <mergeCell ref="A20:N20"/>
    <mergeCell ref="C15:C16"/>
    <mergeCell ref="D15:D16"/>
    <mergeCell ref="I15:I16"/>
    <mergeCell ref="O15:O16"/>
    <mergeCell ref="E15:E16"/>
    <mergeCell ref="F15:F16"/>
    <mergeCell ref="L15:L16"/>
    <mergeCell ref="A21:N21"/>
    <mergeCell ref="A22:N22"/>
    <mergeCell ref="A23:N23"/>
    <mergeCell ref="A24:Q24"/>
    <mergeCell ref="A26:N26"/>
    <mergeCell ref="A27:N27"/>
    <mergeCell ref="A58:N58"/>
    <mergeCell ref="A51:N51"/>
    <mergeCell ref="A52:N52"/>
    <mergeCell ref="A53:N53"/>
    <mergeCell ref="A54:N54"/>
    <mergeCell ref="L39:L40"/>
    <mergeCell ref="L32:L33"/>
    <mergeCell ref="A55:N55"/>
    <mergeCell ref="A56:N56"/>
    <mergeCell ref="A57:N57"/>
    <mergeCell ref="A41:N41"/>
    <mergeCell ref="A50:N50"/>
    <mergeCell ref="A43:N43"/>
    <mergeCell ref="A44:N44"/>
    <mergeCell ref="A45:Q45"/>
    <mergeCell ref="A48:N48"/>
    <mergeCell ref="A49:N49"/>
    <mergeCell ref="L46:L47"/>
    <mergeCell ref="A34:N34"/>
    <mergeCell ref="A35:N35"/>
    <mergeCell ref="A36:N36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9" fitToHeight="30000" orientation="landscape" r:id="rId1"/>
  <headerFooter alignWithMargins="0"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13</xdr:row>
                    <xdr:rowOff>895350</xdr:rowOff>
                  </from>
                  <to>
                    <xdr:col>1</xdr:col>
                    <xdr:colOff>1152525</xdr:colOff>
                    <xdr:row>13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5" name="Button 60">
              <controlPr defaultSize="0" print="0" autoFill="0" autoPict="0" macro="[1]!Лист1.CollapseRows">
                <anchor moveWithCells="1" sizeWithCells="1">
                  <from>
                    <xdr:col>1</xdr:col>
                    <xdr:colOff>19050</xdr:colOff>
                    <xdr:row>15</xdr:row>
                    <xdr:rowOff>895350</xdr:rowOff>
                  </from>
                  <to>
                    <xdr:col>1</xdr:col>
                    <xdr:colOff>1152525</xdr:colOff>
                    <xdr:row>15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" name="Button 61">
              <controlPr defaultSize="0" print="0" autoFill="0" autoPict="0" macro="[1]!Лист1.CollapseRows">
                <anchor moveWithCells="1" sizeWithCells="1">
                  <from>
                    <xdr:col>1</xdr:col>
                    <xdr:colOff>19050</xdr:colOff>
                    <xdr:row>15</xdr:row>
                    <xdr:rowOff>895350</xdr:rowOff>
                  </from>
                  <to>
                    <xdr:col>1</xdr:col>
                    <xdr:colOff>1152525</xdr:colOff>
                    <xdr:row>15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данные'!M:M)</f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Линькова Наталья Григорьевна</dc:creator>
  <dc:description>17.05.2010</dc:description>
  <cp:lastModifiedBy>Игнатьева Маргарита Олеговна</cp:lastModifiedBy>
  <cp:lastPrinted>2017-02-20T00:48:06Z</cp:lastPrinted>
  <dcterms:created xsi:type="dcterms:W3CDTF">2007-02-21T08:42:24Z</dcterms:created>
  <dcterms:modified xsi:type="dcterms:W3CDTF">2017-02-20T00:48:22Z</dcterms:modified>
</cp:coreProperties>
</file>